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MADRID\"/>
    </mc:Choice>
  </mc:AlternateContent>
  <workbookProtection workbookAlgorithmName="SHA-512" workbookHashValue="JMMMrciCABb0X32k166nVWuWwEhyQV7CVh5ZEYyKfGAJytYJxfoSSg87l41UeAbtwwnN+jUDGRdCnRbCAowfTg==" workbookSaltValue="n3H4iEdcEVPPyhlYlJ80S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BG12" i="13"/>
  <c r="AP13" i="17"/>
  <c r="R13" i="12"/>
  <c r="BF18" i="8"/>
  <c r="AT19" i="20"/>
  <c r="D19" i="12"/>
  <c r="N10" i="11"/>
  <c r="ES20" i="8"/>
  <c r="D18" i="2"/>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K21" i="20"/>
  <c r="S21" i="27"/>
  <c r="AU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W21" i="20"/>
  <c r="AJ21" i="27"/>
  <c r="B13" i="2" l="1"/>
  <c r="AY13" i="13"/>
  <c r="BE15" i="13"/>
  <c r="BE17"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I15" i="7" s="1"/>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J12" i="12" s="1"/>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J12"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I11" i="7"/>
  <c r="J9" i="2"/>
  <c r="L17" i="14"/>
  <c r="H18" i="2"/>
  <c r="D9" i="12"/>
  <c r="E9" i="12"/>
  <c r="B12" i="6"/>
  <c r="BE9" i="8"/>
  <c r="I9" i="7" s="1"/>
  <c r="H17" i="7"/>
  <c r="T19" i="17"/>
  <c r="E19" i="2"/>
  <c r="F19" i="2" s="1"/>
  <c r="E17" i="6"/>
  <c r="B17" i="6"/>
  <c r="R8" i="9"/>
  <c r="BM17" i="11" s="1"/>
  <c r="AL17" i="11"/>
  <c r="BG9" i="8"/>
  <c r="F11" i="12"/>
  <c r="H9" i="2"/>
  <c r="AN9" i="11"/>
  <c r="D9" i="6"/>
  <c r="J9" i="12" s="1"/>
  <c r="C9" i="6"/>
  <c r="C18" i="6"/>
  <c r="I18" i="12" s="1"/>
  <c r="L18" i="14"/>
  <c r="W13" i="17"/>
  <c r="C15" i="6"/>
  <c r="I15" i="12" s="1"/>
  <c r="S18" i="16"/>
  <c r="AF13" i="21"/>
  <c r="AF20" i="21" s="1"/>
  <c r="E18" i="6"/>
  <c r="B18" i="6"/>
  <c r="AL18" i="11"/>
  <c r="F9" i="12"/>
  <c r="Y9" i="11"/>
  <c r="U13" i="16"/>
  <c r="AQ11" i="17"/>
  <c r="BD9" i="8"/>
  <c r="H9" i="7" s="1"/>
  <c r="F18" i="17"/>
  <c r="AQ18" i="17" s="1"/>
  <c r="D9" i="2"/>
  <c r="AO9" i="11"/>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AB13" i="16"/>
  <c r="BD13" i="16"/>
  <c r="K20" i="13"/>
  <c r="D13" i="14"/>
  <c r="G13" i="11"/>
  <c r="D13" i="12" s="1"/>
  <c r="C13" i="2"/>
  <c r="G13" i="17"/>
  <c r="E13" i="7"/>
  <c r="AA13" i="17"/>
  <c r="BG13" i="16"/>
  <c r="G13" i="7"/>
  <c r="K13" i="2"/>
  <c r="T13" i="17"/>
  <c r="BH19" i="16"/>
  <c r="BG19" i="16"/>
  <c r="F19" i="12"/>
  <c r="D19" i="14"/>
  <c r="G19" i="11"/>
  <c r="W13" i="1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BP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R21" i="16"/>
  <c r="AX21" i="21"/>
  <c r="O10" i="11"/>
  <c r="AA21" i="27"/>
  <c r="BP21" i="16"/>
  <c r="BI20" i="26" l="1"/>
  <c r="F13" i="12"/>
  <c r="K10" i="12"/>
  <c r="E20" i="17"/>
  <c r="BL21" i="26"/>
  <c r="X17" i="16"/>
  <c r="X11" i="17"/>
  <c r="X15" i="16"/>
  <c r="X19" i="16" s="1"/>
  <c r="K12" i="12"/>
  <c r="BD19" i="13"/>
  <c r="S16" i="16"/>
  <c r="BW16" i="27"/>
  <c r="P16" i="17"/>
  <c r="S16" i="26"/>
  <c r="BL16" i="11"/>
  <c r="BJ16" i="11"/>
  <c r="BH16" i="11"/>
  <c r="BF16" i="11"/>
  <c r="T16" i="26"/>
  <c r="BK16" i="11"/>
  <c r="BG16" i="11"/>
  <c r="V16" i="11"/>
  <c r="AP16" i="20"/>
  <c r="BV16" i="16"/>
  <c r="BH16" i="16"/>
  <c r="T16" i="16"/>
  <c r="AP16" i="27"/>
  <c r="BU16" i="17"/>
  <c r="Q16" i="17"/>
  <c r="BV16" i="26"/>
  <c r="BH16" i="26"/>
  <c r="BM16" i="11"/>
  <c r="BI16" i="11"/>
  <c r="AZ16" i="11"/>
  <c r="U16" i="17"/>
  <c r="X16" i="16"/>
  <c r="S16" i="14"/>
  <c r="V16" i="14" s="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C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<sst xmlns="http://schemas.openxmlformats.org/spreadsheetml/2006/main" count="2513" uniqueCount="1026">
  <si>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</si>
  <si>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</si>
  <si>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</si>
  <si>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</si>
  <si>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</si>
  <si>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</si>
  <si>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</si>
  <si>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</si>
  <si>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</si>
  <si>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</si>
  <si>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</si>
  <si>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</si>
  <si>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</si>
  <si>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</si>
  <si>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</si>
  <si>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</si>
  <si>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</si>
  <si>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</si>
  <si>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</si>
  <si>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</si>
  <si>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</si>
  <si>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</si>
  <si>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</si>
  <si>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</si>
  <si>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</si>
  <si>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</si>
  <si>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</si>
  <si>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</si>
  <si>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</si>
  <si>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</si>
  <si>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</si>
  <si>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</si>
  <si>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</si>
  <si>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</si>
  <si>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</si>
  <si>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</si>
  <si>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</si>
  <si>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</si>
  <si>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</si>
  <si>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</si>
  <si>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</si>
  <si>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</si>
  <si>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</si>
  <si>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</si>
  <si>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</si>
  <si>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</si>
  <si>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</si>
  <si>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</si>
  <si>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</si>
  <si>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</si>
  <si>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</si>
  <si>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</si>
  <si>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</si>
  <si>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</si>
  <si>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</si>
  <si>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</si>
  <si>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</si>
  <si>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</si>
  <si>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</si>
  <si>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</si>
  <si>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</si>
  <si>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</si>
  <si>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</si>
  <si>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</si>
  <si>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</si>
  <si>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</si>
  <si>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</si>
  <si>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</si>
  <si>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</si>
  <si>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</si>
  <si>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</si>
  <si>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</si>
  <si>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</si>
  <si>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</si>
  <si>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</si>
  <si>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</si>
  <si>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</si>
  <si>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</si>
  <si>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</si>
  <si>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</si>
  <si>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</si>
  <si>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</si>
  <si>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</si>
  <si>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</si>
  <si>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</si>
  <si>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</si>
  <si>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</si>
  <si>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</si>
  <si>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</si>
  <si>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</si>
  <si>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</si>
  <si>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</si>
  <si>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</si>
  <si>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</si>
  <si>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</si>
  <si>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</si>
  <si>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</si>
  <si>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</si>
  <si>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</si>
  <si>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</si>
  <si>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</si>
  <si>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</si>
  <si>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</si>
  <si>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</si>
  <si>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</si>
  <si>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</si>
  <si>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</si>
  <si>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</si>
  <si>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</si>
  <si>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</si>
  <si>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</si>
  <si>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</si>
  <si>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</si>
  <si>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</si>
  <si>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</si>
  <si>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</si>
  <si>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</si>
  <si>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</si>
  <si>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</si>
  <si>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</si>
  <si>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</si>
  <si>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</si>
  <si>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</si>
  <si>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</si>
  <si>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</si>
  <si>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</si>
  <si>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</si>
  <si>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</si>
  <si>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</si>
  <si>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</si>
  <si>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</si>
  <si>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</si>
  <si>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</si>
  <si>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</si>
  <si>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</si>
  <si>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</si>
  <si>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</si>
  <si>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</si>
  <si>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</si>
  <si>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</si>
  <si>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</si>
  <si>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</si>
  <si>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</si>
  <si>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</si>
  <si>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</si>
  <si>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</si>
  <si>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</si>
  <si>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</si>
  <si>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</si>
  <si>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</si>
  <si>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</si>
  <si>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</si>
  <si>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</si>
  <si>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</si>
  <si>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</si>
  <si>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</si>
  <si>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</si>
  <si>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</si>
  <si>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</si>
  <si>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</si>
  <si>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</si>
  <si>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</si>
  <si>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</si>
  <si>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</si>
  <si>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</si>
  <si>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</si>
  <si>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</si>
  <si>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</si>
  <si>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</si>
  <si>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</si>
  <si>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</si>
  <si>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</si>
  <si>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</si>
  <si>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</si>
  <si>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</si>
  <si>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</si>
  <si>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</si>
  <si>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</si>
  <si>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</si>
  <si>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</si>
  <si>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</si>
  <si>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</si>
  <si>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</si>
  <si>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</si>
  <si>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</si>
  <si>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</si>
  <si>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</si>
  <si>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</si>
  <si>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</si>
  <si>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</si>
  <si>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</si>
  <si>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</si>
  <si>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</si>
  <si>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</si>
  <si>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</si>
  <si>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</si>
  <si>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</si>
  <si>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</si>
  <si>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</si>
  <si>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</si>
  <si>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</si>
  <si>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</si>
  <si>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</si>
  <si>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</si>
  <si>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</si>
  <si>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</si>
  <si>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</si>
  <si>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</si>
  <si>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</si>
  <si>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</si>
  <si>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</si>
  <si>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</si>
  <si>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</si>
  <si>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</si>
  <si>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</si>
  <si>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</si>
  <si>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</si>
  <si>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</si>
  <si>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</si>
  <si>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</si>
  <si>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</si>
  <si>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</si>
  <si>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</si>
  <si>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</si>
  <si>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</si>
  <si>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</si>
  <si>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</si>
  <si>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</si>
  <si>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</si>
  <si>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</si>
  <si>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</si>
  <si>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</si>
  <si>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</si>
  <si>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</si>
  <si>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</si>
  <si>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</si>
  <si>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</si>
  <si>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</si>
  <si>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</si>
  <si>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</si>
  <si>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</si>
  <si>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</si>
  <si>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</si>
  <si>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</si>
  <si>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</si>
  <si>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</si>
  <si>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</si>
  <si>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</si>
  <si>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</si>
  <si>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</si>
  <si>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</si>
  <si>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</si>
  <si>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</si>
  <si>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</si>
  <si>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</si>
  <si>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</si>
  <si>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</si>
  <si>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</si>
  <si>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</si>
  <si>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</si>
  <si>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</si>
  <si>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</si>
  <si>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</si>
  <si>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</si>
  <si>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</si>
  <si>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</si>
  <si>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</si>
  <si>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</si>
  <si>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</si>
  <si>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</si>
  <si>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</si>
  <si>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</si>
  <si>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</si>
  <si>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</si>
  <si>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</si>
  <si>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</si>
  <si>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</si>
  <si>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</si>
  <si>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</si>
  <si>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</si>
  <si>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</si>
  <si>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</si>
  <si>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</si>
  <si>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</si>
  <si>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</si>
  <si>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</si>
  <si>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</si>
  <si>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</si>
  <si>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</si>
  <si>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</si>
  <si>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</si>
  <si>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</si>
  <si>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</si>
  <si>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</si>
  <si>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</si>
  <si>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</si>
  <si>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</si>
  <si>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</si>
  <si>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</si>
  <si>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</si>
  <si>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</si>
  <si>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</si>
  <si>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</si>
  <si>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</si>
  <si>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</si>
  <si>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</si>
  <si>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</si>
  <si>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</si>
  <si>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</si>
  <si>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</si>
  <si>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</si>
  <si>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</si>
  <si>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</si>
  <si>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</si>
  <si>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</si>
  <si>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</si>
  <si>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</si>
  <si>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</si>
  <si>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</si>
  <si>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</si>
  <si>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</si>
  <si>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</si>
  <si>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</si>
  <si>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</si>
  <si>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</si>
  <si>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</si>
  <si>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</si>
  <si>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</si>
  <si>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</si>
  <si>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</si>
  <si>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</si>
  <si>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</si>
  <si>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</si>
  <si>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</si>
  <si>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</si>
  <si>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</si>
  <si>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</si>
  <si>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</si>
  <si>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</si>
  <si>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</si>
  <si>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</si>
  <si>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</si>
  <si>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</si>
  <si>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</si>
  <si>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</si>
  <si>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</si>
  <si>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</si>
  <si>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</si>
  <si>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</si>
  <si>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</si>
  <si>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</si>
  <si>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</si>
  <si>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</si>
  <si>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</si>
  <si>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</si>
  <si>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</si>
  <si>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</si>
  <si>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</si>
  <si>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</si>
  <si>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</si>
  <si>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</si>
  <si>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</si>
  <si>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</si>
  <si>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</si>
  <si>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</si>
  <si>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</si>
  <si>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</si>
  <si>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</si>
  <si>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</si>
  <si>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</si>
  <si>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</si>
  <si>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</si>
  <si>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</si>
  <si>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</si>
  <si>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</si>
  <si>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</si>
  <si>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</si>
  <si>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</si>
  <si>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</si>
  <si>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</si>
  <si>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</si>
  <si>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</si>
  <si>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</si>
  <si>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</si>
  <si>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</si>
  <si>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</si>
  <si>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</si>
  <si>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</si>
  <si>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</si>
  <si>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</si>
  <si>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</si>
  <si>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</si>
  <si>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</si>
  <si>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</si>
  <si>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</si>
  <si>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</si>
  <si>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</si>
  <si>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</si>
  <si>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</si>
  <si>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</si>
  <si>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</si>
  <si>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</si>
  <si>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</si>
  <si>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</si>
  <si>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</si>
  <si>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</si>
  <si>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</si>
  <si>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</si>
  <si>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</si>
  <si>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</si>
  <si>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</si>
  <si>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</si>
  <si>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</si>
  <si>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</si>
  <si>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</si>
  <si>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</si>
  <si>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</si>
  <si>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</si>
  <si>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</si>
  <si>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</si>
  <si>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</si>
  <si>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</si>
  <si>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</si>
  <si>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</si>
  <si>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</si>
  <si>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</si>
  <si>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</si>
  <si>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</si>
  <si>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</si>
  <si>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</si>
  <si>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</si>
  <si>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</si>
  <si>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</si>
  <si>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</si>
  <si>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</si>
  <si>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</si>
  <si>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</si>
  <si>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</si>
  <si>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</si>
  <si>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</si>
  <si>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</si>
  <si>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</si>
  <si>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</si>
  <si>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</si>
  <si>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</si>
  <si>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</si>
  <si>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</si>
  <si>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</si>
  <si>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</si>
  <si>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</si>
  <si>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</si>
  <si>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</si>
  <si>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</si>
  <si>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</si>
  <si>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</si>
  <si>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</si>
  <si>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</si>
  <si>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</si>
  <si>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</si>
  <si>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</si>
  <si>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</si>
  <si>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</si>
  <si>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</si>
  <si>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</si>
  <si>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</si>
  <si>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</si>
  <si>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</si>
  <si>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</si>
  <si>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</si>
  <si>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</si>
  <si>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</si>
  <si>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</si>
  <si>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</si>
  <si>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</si>
  <si>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</si>
  <si>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</si>
  <si>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</si>
  <si>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</si>
  <si>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</si>
  <si>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</si>
  <si>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</si>
  <si>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</si>
  <si>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</si>
  <si>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</si>
  <si>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</si>
  <si>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</si>
  <si>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</si>
  <si>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</si>
  <si>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</si>
  <si>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</si>
  <si>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</si>
  <si>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</si>
  <si>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</si>
  <si>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</si>
  <si>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</si>
  <si>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</si>
  <si>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</si>
  <si>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</si>
  <si>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</si>
  <si>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</si>
  <si>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</si>
  <si>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</si>
  <si>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</si>
  <si>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</si>
  <si>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</si>
  <si>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</si>
  <si>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</si>
  <si>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</si>
  <si>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</si>
  <si>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</si>
  <si>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</si>
  <si>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</si>
  <si>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</si>
  <si>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</si>
  <si>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</si>
  <si>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</si>
  <si>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</si>
  <si>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</si>
  <si>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</si>
  <si>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</si>
  <si>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</si>
  <si>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</si>
  <si>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</si>
  <si>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</si>
  <si>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</si>
  <si>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</si>
  <si>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</si>
  <si>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</si>
  <si>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</si>
  <si>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</si>
  <si>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</si>
  <si>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</si>
  <si>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</si>
  <si>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</si>
  <si>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</si>
  <si>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</si>
  <si>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</si>
  <si>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</si>
  <si>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</si>
  <si>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</si>
  <si>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</si>
  <si>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</si>
  <si>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</si>
  <si>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</si>
  <si>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</si>
  <si>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</si>
  <si>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</si>
  <si>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</si>
  <si>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</si>
  <si>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</si>
  <si>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</si>
  <si>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</si>
  <si>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</si>
  <si>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</si>
  <si>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</si>
  <si>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</si>
  <si>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</si>
  <si>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</si>
  <si>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</si>
  <si>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</si>
  <si>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</si>
  <si>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</si>
  <si>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</si>
  <si>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</si>
  <si>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</si>
  <si>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</si>
  <si>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</si>
  <si>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</si>
  <si>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</si>
  <si>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</si>
  <si>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</si>
  <si>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</si>
  <si>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</si>
  <si>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</si>
  <si>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</si>
  <si>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</si>
  <si>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</si>
  <si>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</si>
  <si>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</si>
  <si>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</si>
  <si>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</si>
  <si>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</si>
  <si>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</si>
  <si>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</si>
  <si>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</si>
  <si>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</si>
  <si>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</si>
  <si>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</si>
  <si>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</si>
  <si>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</si>
  <si>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</si>
  <si>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</si>
  <si>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</si>
  <si>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</si>
  <si>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</si>
  <si>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</si>
  <si>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</si>
  <si>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</si>
  <si>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</si>
  <si>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</si>
  <si>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</si>
  <si>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</si>
  <si>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</si>
  <si>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</si>
  <si>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</si>
  <si>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</si>
  <si>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</si>
  <si>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</si>
  <si>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</si>
  <si>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</si>
  <si>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</si>
  <si>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</si>
  <si>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</si>
  <si>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</si>
  <si>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</si>
  <si>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</si>
  <si>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</si>
  <si>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</si>
  <si>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</si>
  <si>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</si>
  <si>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</si>
  <si>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</si>
  <si>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</si>
  <si>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</si>
  <si>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</si>
  <si>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</si>
  <si>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</si>
  <si>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</si>
  <si>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</si>
  <si>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</si>
  <si>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</si>
  <si>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</si>
  <si>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</si>
  <si>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</si>
  <si>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</si>
  <si>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</si>
  <si>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</si>
  <si>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</si>
  <si>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</si>
  <si>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</si>
  <si>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</si>
  <si>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</si>
  <si>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</si>
  <si>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</si>
  <si>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</si>
  <si>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</si>
  <si>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</si>
  <si>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</si>
  <si>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</si>
  <si>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</si>
  <si>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</si>
  <si>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</si>
  <si>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</si>
  <si>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</si>
  <si>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</si>
  <si>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</si>
  <si>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</si>
  <si>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</si>
  <si>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</si>
  <si>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</si>
  <si>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</si>
  <si>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</si>
  <si>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</si>
  <si>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</si>
  <si>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</si>
  <si>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</si>
  <si>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</si>
  <si>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</si>
  <si>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</si>
  <si>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</si>
  <si>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</si>
  <si>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</si>
  <si>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</si>
  <si>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</si>
  <si>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</si>
  <si>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</si>
  <si>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</si>
  <si>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</si>
  <si>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</si>
  <si>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</si>
  <si>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</si>
  <si>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</si>
  <si>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</si>
  <si>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</si>
  <si>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</si>
  <si>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</si>
  <si>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</si>
  <si>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</si>
  <si>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</si>
  <si>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</si>
  <si>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</si>
  <si>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</si>
  <si>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</si>
  <si>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</si>
  <si>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</si>
  <si>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</si>
  <si>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</si>
  <si>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</si>
  <si>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</si>
  <si>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</si>
  <si>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</si>
  <si>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</si>
  <si>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</si>
  <si>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</si>
  <si>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</si>
  <si>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</si>
  <si>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</si>
  <si>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</si>
  <si>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</si>
  <si>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</si>
  <si>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</si>
  <si>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</si>
  <si>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</si>
  <si>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</si>
  <si>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</si>
  <si>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</si>
  <si>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</si>
  <si>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</si>
  <si>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</si>
  <si>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</si>
  <si>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</si>
  <si>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</si>
  <si>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</si>
  <si>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</si>
  <si>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</si>
  <si>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</si>
  <si>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</si>
  <si>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</si>
  <si>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</si>
  <si>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</si>
  <si>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</si>
  <si>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</si>
  <si>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</si>
  <si>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</si>
  <si>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</si>
  <si>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</si>
  <si>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</si>
  <si>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</si>
  <si>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</si>
  <si>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</si>
  <si>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</si>
  <si>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</si>
  <si>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</si>
  <si>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</si>
  <si>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</si>
  <si>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</si>
  <si>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</si>
  <si>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</si>
  <si>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</si>
  <si>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</si>
  <si>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</si>
  <si>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</si>
  <si>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</si>
  <si>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</si>
  <si>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</si>
  <si>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</si>
  <si>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</si>
  <si>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</si>
  <si>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</si>
  <si>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</si>
  <si>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</si>
  <si>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</si>
  <si>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</si>
  <si>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</si>
  <si>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</si>
  <si>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</si>
  <si>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</si>
  <si>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</si>
  <si>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</si>
  <si>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</si>
  <si>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</si>
  <si>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</si>
  <si>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</si>
  <si>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</si>
  <si>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</si>
  <si>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</si>
  <si>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</si>
  <si>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</si>
  <si>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</si>
  <si>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</si>
  <si>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</si>
  <si>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</si>
  <si>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</si>
  <si>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</si>
  <si>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</si>
  <si>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</si>
  <si>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</si>
  <si>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</si>
  <si>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</si>
  <si>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</si>
  <si>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</si>
  <si>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</si>
  <si>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</si>
  <si>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</si>
  <si>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</si>
  <si>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</si>
  <si>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</si>
  <si>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</si>
  <si>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</si>
  <si>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</si>
  <si>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</si>
  <si>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</si>
  <si>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</si>
  <si>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</si>
  <si>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</si>
  <si>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</si>
  <si>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</si>
  <si>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</si>
  <si>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</si>
  <si>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</si>
  <si>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</si>
  <si>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</si>
  <si>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</si>
  <si>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</si>
  <si>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</si>
  <si>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</si>
  <si>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</si>
  <si>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</si>
  <si>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</si>
  <si>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</si>
  <si>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</si>
  <si>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</si>
  <si>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</si>
  <si>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</si>
  <si>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</si>
  <si>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</si>
  <si>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</si>
  <si>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</si>
  <si>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</si>
  <si>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</si>
  <si>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</si>
  <si>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</si>
  <si>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</si>
  <si>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</si>
  <si>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</si>
  <si>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</si>
  <si>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</si>
  <si>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</si>
  <si>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</si>
  <si>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</si>
  <si>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</si>
  <si>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</si>
  <si>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</si>
  <si>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</si>
  <si>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</si>
  <si>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</si>
  <si>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</si>
  <si>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</si>
  <si>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</si>
  <si>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</si>
  <si>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</si>
  <si>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</si>
  <si>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</si>
  <si>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</si>
  <si>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</si>
  <si>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</si>
  <si>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</si>
  <si>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</si>
  <si>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</si>
  <si>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</si>
  <si>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</si>
  <si>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</si>
  <si>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</si>
  <si>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</si>
  <si>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</si>
  <si>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</si>
  <si>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</si>
  <si>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</si>
  <si>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</si>
  <si>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</si>
  <si>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</si>
  <si>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</si>
  <si>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</si>
  <si>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</si>
  <si>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</si>
  <si>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</si>
  <si>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</si>
  <si>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</si>
  <si>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</si>
  <si>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</si>
  <si>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</si>
  <si>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</si>
  <si>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</si>
  <si>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</si>
  <si>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</si>
  <si>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</si>
  <si>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</si>
  <si>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</si>
  <si>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</si>
  <si>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</si>
  <si>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</si>
  <si>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</si>
  <si>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</si>
  <si>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</si>
  <si>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</si>
  <si>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</si>
  <si>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</si>
  <si>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</si>
  <si>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</si>
  <si>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</si>
  <si>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</si>
  <si>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</si>
  <si>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</si>
  <si>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</si>
  <si>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</si>
  <si>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</si>
  <si>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</si>
  <si>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</si>
  <si>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</si>
  <si>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</si>
  <si>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</si>
  <si>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</si>
  <si>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</si>
  <si>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</si>
  <si>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</si>
  <si>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</si>
  <si>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</si>
  <si>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</si>
  <si>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</si>
  <si>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</si>
  <si>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</si>
  <si>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</si>
  <si>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</si>
  <si>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</si>
  <si>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</si>
  <si>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</si>
  <si>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</si>
  <si>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</si>
  <si>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</si>
  <si>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</si>
  <si>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</si>
  <si>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</si>
  <si>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</si>
  <si>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</si>
  <si>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</si>
  <si>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</si>
  <si>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</si>
  <si>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</si>
  <si>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</si>
  <si>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</si>
  <si>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</si>
  <si>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</si>
  <si>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</si>
  <si>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</si>
  <si>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</si>
  <si>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</si>
  <si>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</si>
  <si>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</si>
  <si>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</si>
  <si>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</si>
  <si>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</si>
  <si>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</si>
  <si>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</si>
  <si>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</si>
  <si>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</si>
  <si>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</si>
  <si>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</si>
  <si>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</si>
  <si>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</si>
  <si>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</si>
  <si>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</si>
  <si>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</si>
  <si>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</si>
  <si>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</si>
  <si>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</si>
  <si>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</si>
  <si>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</si>
  <si>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</si>
  <si>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</si>
  <si>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</si>
  <si>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</si>
  <si>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</si>
  <si>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</si>
  <si>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</si>
  <si>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</si>
  <si>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</si>
  <si>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</si>
  <si>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</si>
  <si>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</si>
  <si>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</si>
  <si>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</si>
  <si>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</si>
  <si>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</si>
  <si>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</si>
  <si>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</si>
  <si>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</si>
  <si>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</si>
  <si>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</si>
  <si>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</si>
  <si>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</si>
  <si>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</si>
  <si>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</si>
  <si>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</si>
  <si>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</si>
  <si>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</si>
  <si>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</si>
  <si>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</si>
  <si>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</si>
  <si>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</si>
  <si>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</si>
  <si>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</si>
  <si>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</si>
  <si>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</si>
  <si>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</si>
  <si>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</si>
  <si>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</si>
  <si>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</si>
  <si>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</si>
  <si>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</si>
  <si>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</si>
  <si>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</si>
  <si>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</si>
  <si>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</si>
  <si>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</si>
  <si>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</si>
  <si>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</si>
  <si>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</si>
  <si>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</si>
  <si>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</si>
  <si>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</si>
  <si>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</si>
  <si>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</si>
  <si>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MADRID</t>
  </si>
  <si>
    <t>Provincias</t>
  </si>
  <si>
    <t>Resumenes por Partidos Judiciales</t>
  </si>
  <si>
    <t>TORREJON DE ARDOZ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</si>
</sst>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1022</v>
      </c>
      <c r="C10" s="371"/>
      <c r="D10" s="371"/>
      <c r="E10" s="380"/>
      <c r="F10" s="3"/>
      <c r="Q10" s="345">
        <v>0</v>
      </c>
    </row>
    <row r="11" spans="1:19" ht="13.5" thickBot="1">
      <c r="A11" s="381" t="s">
        <v>1024</v>
      </c>
      <c r="B11" s="382" t="s">
        <v>1025</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fPEwjDAjUt651NPPkmujgV7SwbPgJJfclkGiVgZ4f8Y3fKb03yYmpBL62dzgGqsDRFJGbfJAT3PegepjMR0wGw==" saltValue="TgNlNdmzLyeYUkZB29nGi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MADRID</v>
      </c>
      <c r="C2" s="374"/>
      <c r="D2" s="374"/>
      <c r="E2" s="374"/>
      <c r="F2" s="374"/>
    </row>
    <row r="3" spans="1:69" ht="19.5">
      <c r="A3" s="389" t="s">
        <v>115</v>
      </c>
      <c r="B3" s="390" t="str">
        <f>Criterios!A10 &amp;"  "&amp;Criterios!B10</f>
        <v>Provincias  MADRID</v>
      </c>
      <c r="D3" s="374"/>
      <c r="E3" s="374"/>
      <c r="F3" s="374"/>
      <c r="BQ3" s="470"/>
    </row>
    <row r="4" spans="1:69" ht="13.5" thickBot="1">
      <c r="A4" s="374"/>
      <c r="B4" s="390" t="str">
        <f>Criterios!A11 &amp;"  "&amp;Criterios!B11</f>
        <v>Resumenes por Partidos Judiciales  TORREJON DE ARDOZ</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6</v>
      </c>
      <c r="C9" s="402">
        <f>IF(ISNUMBER(IF(J_V="SI",Datos!I9,Datos!I9+Datos!Y9)),IF(J_V="SI",Datos!I9,Datos!I9+Datos!Y9)," - ")</f>
        <v>11320</v>
      </c>
      <c r="D9" s="403">
        <f>IF(ISNUMBER(C9/Datos!BH9),C9/Datos!BH9," - ")</f>
        <v>1886.6666666666667</v>
      </c>
      <c r="E9" s="402">
        <f>IF(ISNUMBER(IF(J_V="SI",Datos!J9,Datos!J9+Datos!Z9)),IF(J_V="SI",Datos!J9,Datos!J9+Datos!Z9)," - ")</f>
        <v>3126</v>
      </c>
      <c r="F9" s="403">
        <f>IF(ISNUMBER(E9/B9),E9/B9," - ")</f>
        <v>521</v>
      </c>
      <c r="G9" s="402">
        <f>IF(ISNUMBER(IF(J_V="SI",Datos!K9,Datos!K9+Datos!AA9)),IF(J_V="SI",Datos!K9,Datos!K9+Datos!AA9)," - ")</f>
        <v>3224</v>
      </c>
      <c r="H9" s="403">
        <f>IF(ISNUMBER(G9/B9),G9/B9," - ")</f>
        <v>537.33333333333337</v>
      </c>
      <c r="I9" s="402">
        <f>IF(ISNUMBER(IF(J_V="SI",Datos!L9,Datos!L9+Datos!AB9)),IF(J_V="SI",Datos!L9,Datos!L9+Datos!AB9)," - ")</f>
        <v>11191</v>
      </c>
      <c r="J9" s="403">
        <f>IF(ISNUMBER(I9/B9),I9/B9," - ")</f>
        <v>1865.1666666666667</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119</v>
      </c>
      <c r="D10" s="403">
        <f>IF(ISNUMBER(C10/Datos!BH10),C10/Datos!BH10," - ")</f>
        <v>119</v>
      </c>
      <c r="E10" s="402">
        <f>IF(ISNUMBER(Datos!J10),Datos!J10," - ")</f>
        <v>30</v>
      </c>
      <c r="F10" s="403">
        <f>IF(ISNUMBER(E10/B10),E10/B10," - ")</f>
        <v>30</v>
      </c>
      <c r="G10" s="402">
        <f>IF(ISNUMBER(Datos!K10),Datos!K10," - ")</f>
        <v>14</v>
      </c>
      <c r="H10" s="403">
        <f>IF(ISNUMBER(G10/B10),G10/B10," - ")</f>
        <v>14</v>
      </c>
      <c r="I10" s="402">
        <f>IF(ISNUMBER(Datos!L10),Datos!L10," - ")</f>
        <v>135</v>
      </c>
      <c r="J10" s="403">
        <f>IF(ISNUMBER(I10/B10),I10/B10," - ")</f>
        <v>135</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7</v>
      </c>
      <c r="C13" s="846">
        <f>SUBTOTAL(9,C8:C12)</f>
        <v>11439</v>
      </c>
      <c r="D13" s="847" t="str">
        <f>IF(ISNUMBER(C13/Datos!BI13),C13/Datos!BI13," - ")</f>
        <v xml:space="preserve"> - </v>
      </c>
      <c r="E13" s="846">
        <f>SUBTOTAL(9,E8:E12)</f>
        <v>3156</v>
      </c>
      <c r="F13" s="847">
        <f>IF(ISNUMBER(E13/B13),E13/B13," - ")</f>
        <v>450.85714285714283</v>
      </c>
      <c r="G13" s="846">
        <f>SUBTOTAL(9,G8:G12)</f>
        <v>3238</v>
      </c>
      <c r="H13" s="847">
        <f>IF(ISNUMBER(G13/B13),G13/B13," - ")</f>
        <v>462.57142857142856</v>
      </c>
      <c r="I13" s="846">
        <f>SUBTOTAL(9,I8:I12)</f>
        <v>11326</v>
      </c>
      <c r="J13" s="847">
        <f>IF(ISNUMBER(I13/B13),I13/B13," - ")</f>
        <v>1618</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4</v>
      </c>
      <c r="C15" s="402">
        <f>IF(ISNUMBER(IF(D_I="SI",Datos!I15,Datos!I15+Datos!AC15)),IF(D_I="SI",Datos!I15,Datos!I15+Datos!AC15)," - ")</f>
        <v>1792</v>
      </c>
      <c r="D15" s="403">
        <f>IF(ISNUMBER(C15/Datos!BH15),C15/Datos!BH15," - ")</f>
        <v>448</v>
      </c>
      <c r="E15" s="402">
        <f>IF(ISNUMBER(IF(D_I="SI",Datos!J15,Datos!J15+Datos!AD15)),IF(D_I="SI",Datos!J15,Datos!J15+Datos!AD15)," - ")</f>
        <v>2422</v>
      </c>
      <c r="F15" s="403">
        <f>IF(ISNUMBER(E15/B15),E15/B15," - ")</f>
        <v>605.5</v>
      </c>
      <c r="G15" s="402">
        <f>IF(ISNUMBER(IF(D_I="SI",Datos!K15,Datos!K15+Datos!AE15)),IF(D_I="SI",Datos!K15,Datos!K15+Datos!AE15)," - ")</f>
        <v>2414</v>
      </c>
      <c r="H15" s="403">
        <f>IF(ISNUMBER(G15/B15),G15/B15," - ")</f>
        <v>603.5</v>
      </c>
      <c r="I15" s="402">
        <f>IF(ISNUMBER(IF(D_I="SI",Datos!L15,Datos!L15+Datos!AF15)),IF(D_I="SI",Datos!L15,Datos!L15+Datos!AF15)," - ")</f>
        <v>1845</v>
      </c>
      <c r="J15" s="403">
        <f>IF(ISNUMBER(I15/B15),I15/B15," - ")</f>
        <v>461.25</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f>IF(ISNUMBER(IF(D_I="SI",Datos!I17,Datos!I17+Datos!AC17)),IF(D_I="SI",Datos!I17,Datos!I17+Datos!AC17)," - ")</f>
        <v>1</v>
      </c>
      <c r="D17" s="403" t="str">
        <f>IF(ISNUMBER(C17/Datos!BH17),C17/Datos!BH17," - ")</f>
        <v xml:space="preserve"> - </v>
      </c>
      <c r="E17" s="402">
        <f>IF(ISNUMBER(IF(D_I="SI",Datos!J17,Datos!J17+Datos!AD17)),IF(D_I="SI",Datos!J17,Datos!J17+Datos!AD17)," - ")</f>
        <v>0</v>
      </c>
      <c r="F17" s="403" t="str">
        <f>IF(ISNUMBER(E17/B17),E17/B17," - ")</f>
        <v xml:space="preserve"> - </v>
      </c>
      <c r="G17" s="402">
        <f>IF(ISNUMBER(IF(D_I="SI",Datos!K17,Datos!K17+Datos!AE17)),IF(D_I="SI",Datos!K17,Datos!K17+Datos!AE17)," - ")</f>
        <v>0</v>
      </c>
      <c r="H17" s="403" t="str">
        <f>IF(ISNUMBER(G17/B17),G17/B17," - ")</f>
        <v xml:space="preserve"> - </v>
      </c>
      <c r="I17" s="402">
        <f>IF(ISNUMBER(IF(D_I="SI",Datos!L17,Datos!L17+Datos!AF17)),IF(D_I="SI",Datos!L17,Datos!L17+Datos!AF17)," - ")</f>
        <v>1</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298</v>
      </c>
      <c r="D18" s="403">
        <f>IF(ISNUMBER(C18/Datos!BH18),C18/Datos!BH18," - ")</f>
        <v>298</v>
      </c>
      <c r="E18" s="402">
        <f>IF(ISNUMBER(IF(D_I="SI",Datos!J18,Datos!J18+Datos!AD18)),IF(D_I="SI",Datos!J18,Datos!J18+Datos!AD18)," - ")</f>
        <v>314</v>
      </c>
      <c r="F18" s="403">
        <f>IF(ISNUMBER(E18/B18),E18/B18," - ")</f>
        <v>314</v>
      </c>
      <c r="G18" s="402">
        <f>IF(ISNUMBER(IF(D_I="SI",Datos!K18,Datos!K18+Datos!AE18)),IF(D_I="SI",Datos!K18,Datos!K18+Datos!AE18)," - ")</f>
        <v>288</v>
      </c>
      <c r="H18" s="403">
        <f>IF(ISNUMBER(G18/B18),G18/B18," - ")</f>
        <v>288</v>
      </c>
      <c r="I18" s="402">
        <f>IF(ISNUMBER(IF(D_I="SI",Datos!L18,Datos!L18+Datos!AF18)),IF(D_I="SI",Datos!L18,Datos!L18+Datos!AF18)," - ")</f>
        <v>343</v>
      </c>
      <c r="J18" s="403">
        <f>IF(ISNUMBER(I18/B18),I18/B18," - ")</f>
        <v>343</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5</v>
      </c>
      <c r="C19" s="846">
        <f>SUBTOTAL(9,C14:C18)</f>
        <v>2091</v>
      </c>
      <c r="D19" s="847" t="str">
        <f>IF(ISNUMBER(C19/Datos!BI19),C19/Datos!BI19," - ")</f>
        <v xml:space="preserve"> - </v>
      </c>
      <c r="E19" s="846">
        <f>SUBTOTAL(9,E14:E18)</f>
        <v>2736</v>
      </c>
      <c r="F19" s="847">
        <f>IF(ISNUMBER(E19/B19),E19/B19," - ")</f>
        <v>547.20000000000005</v>
      </c>
      <c r="G19" s="846">
        <f>SUBTOTAL(9,G14:G18)</f>
        <v>2702</v>
      </c>
      <c r="H19" s="847">
        <f>IF(ISNUMBER(G19/B19),G19/B19," - ")</f>
        <v>540.4</v>
      </c>
      <c r="I19" s="846">
        <f>SUBTOTAL(9,I14:I18)</f>
        <v>2189</v>
      </c>
      <c r="J19" s="847">
        <f>IF(ISNUMBER(I19/B19),I19/B19," - ")</f>
        <v>437.8</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11</v>
      </c>
      <c r="C20" s="791">
        <f>SUBTOTAL(9,C9:C19)</f>
        <v>13530</v>
      </c>
      <c r="D20" s="792" t="str">
        <f>IF(ISNUMBER(C20/Datos!BI20),C20/Datos!BI20," - ")</f>
        <v xml:space="preserve"> - </v>
      </c>
      <c r="E20" s="791">
        <f>SUBTOTAL(9,E9:E19)</f>
        <v>5892</v>
      </c>
      <c r="F20" s="792">
        <f>IF(ISNUMBER(E20/B20),E20/B20," - ")</f>
        <v>535.63636363636363</v>
      </c>
      <c r="G20" s="791">
        <f>SUBTOTAL(9,G9:G19)</f>
        <v>5940</v>
      </c>
      <c r="H20" s="792">
        <f>IF(ISNUMBER(G20/B20),G20/B20," - ")</f>
        <v>540</v>
      </c>
      <c r="I20" s="791">
        <f>SUBTOTAL(9,I9:I19)</f>
        <v>13515</v>
      </c>
      <c r="J20" s="792">
        <f>IF(ISNUMBER(I20/B20),I20/B20," - ")</f>
        <v>1228.6363636363637</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qnGASk5pZVF2c2spRhxsfgj0azRNrkvYm1KVSGIsNaQ8pnNSnWlWXwxr71QBXJ6ay4W4RDsmqI4/ncwyrzzScg==" saltValue="TqQz6DaDT/OC7CLqG8x6B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MADRID</v>
      </c>
      <c r="C2" s="374"/>
      <c r="E2" s="374"/>
      <c r="F2" s="374"/>
      <c r="G2" s="374"/>
      <c r="H2" s="374"/>
    </row>
    <row r="3" spans="1:15" ht="39">
      <c r="A3" s="414" t="s">
        <v>219</v>
      </c>
      <c r="B3" s="390" t="str">
        <f>Criterios!A10 &amp;"  "&amp;Criterios!B10</f>
        <v>Provincias  MADRID</v>
      </c>
      <c r="C3" s="414"/>
      <c r="F3" s="374"/>
      <c r="G3" s="374"/>
      <c r="H3" s="374"/>
    </row>
    <row r="4" spans="1:15" ht="13.5" thickBot="1">
      <c r="A4" s="374"/>
      <c r="B4" s="390" t="str">
        <f>Criterios!A11 &amp;"  "&amp;Criterios!B11</f>
        <v>Resumenes por Partidos Judiciales  TORREJON DE ARDOZ</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6</v>
      </c>
      <c r="D9" s="402">
        <f>Datos!BK9</f>
        <v>0</v>
      </c>
      <c r="E9" s="402">
        <f>Datos!AQ9</f>
        <v>6</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1</v>
      </c>
      <c r="D10" s="402">
        <f>Datos!BK10</f>
        <v>0</v>
      </c>
      <c r="E10" s="402">
        <f>Datos!AQ10</f>
        <v>1</v>
      </c>
      <c r="F10" s="403">
        <f>IF(ISNUMBER(E10/Datos!BH10),E10/Datos!BH10," - ")</f>
        <v>1</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4</v>
      </c>
      <c r="D15" s="402">
        <f>Datos!BK15</f>
        <v>0</v>
      </c>
      <c r="E15" s="402">
        <f>Datos!AQ15</f>
        <v>4</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1</v>
      </c>
      <c r="D18" s="402">
        <f>Datos!BK18</f>
        <v>0</v>
      </c>
      <c r="E18" s="402">
        <f>Datos!AQ18</f>
        <v>1</v>
      </c>
      <c r="F18" s="403">
        <f>IF(ISNUMBER(E18/Datos!BH18),E18/Datos!BH18," - ")</f>
        <v>1</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hrmabrRbY1z5FiCrz9nvebdEgrbYN03aaO9cVSl5m7Ff4Un/17usPXQwhuNlLEXlhirxxThitSO4zOSiEXnieQ==" saltValue="QGLHKa+IckVaJJvZ9obhj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MADRID</v>
      </c>
      <c r="C2" s="390"/>
    </row>
    <row r="3" spans="1:78" ht="19.5">
      <c r="A3" s="424" t="s">
        <v>11</v>
      </c>
      <c r="B3" s="390" t="str">
        <f>Criterios!A10 &amp;"  "&amp;Criterios!B10</f>
        <v>Provincias  MADRID</v>
      </c>
      <c r="C3" s="390"/>
      <c r="D3" s="424"/>
      <c r="BZ3" s="470"/>
    </row>
    <row r="4" spans="1:78" ht="13.5" thickBot="1">
      <c r="B4" s="390" t="str">
        <f>Criterios!A11 &amp;"  "&amp;Criterios!B11</f>
        <v>Resumenes por Partidos Judiciales  TORREJON DE ARDOZ</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6</v>
      </c>
      <c r="C9" s="409">
        <f>Datos!AQ9</f>
        <v>6</v>
      </c>
      <c r="D9" s="402">
        <f>IF(ISNUMBER(Datos!M9),Datos!M9," - ")</f>
        <v>705</v>
      </c>
      <c r="E9" s="403">
        <f t="shared" ref="E9:E13" si="0">IF(ISNUMBER(D9/B9),D9/B9," - ")</f>
        <v>117.5</v>
      </c>
      <c r="F9" s="402">
        <f>IF(ISNUMBER(Datos!N9),Datos!N9," - ")</f>
        <v>1837</v>
      </c>
      <c r="G9" s="403">
        <f t="shared" ref="G9:G13" si="1">IF(ISNUMBER(F9/B9),F9/B9," - ")</f>
        <v>306.16666666666669</v>
      </c>
      <c r="H9" s="402">
        <f>IF(ISNUMBER(Datos!O9),Datos!O9," - ")</f>
        <v>846</v>
      </c>
      <c r="I9" s="403">
        <f>IF(ISNUMBER(H9/B9),H9/B9," - ")</f>
        <v>141</v>
      </c>
      <c r="BZ9" s="1181">
        <f>Datos!EZ9</f>
        <v>0</v>
      </c>
    </row>
    <row r="10" spans="1:78">
      <c r="A10" s="401" t="str">
        <f>Datos!A10</f>
        <v>Sección De Violencia sobre la Mujer del TI</v>
      </c>
      <c r="B10" s="426">
        <f>Datos!AO10</f>
        <v>1</v>
      </c>
      <c r="C10" s="409">
        <f>Datos!AQ10</f>
        <v>1</v>
      </c>
      <c r="D10" s="402">
        <f>IF(ISNUMBER(Datos!M10),Datos!M10," - ")</f>
        <v>0</v>
      </c>
      <c r="E10" s="403">
        <f>IF(ISNUMBER(D10/B10),D10/B10," - ")</f>
        <v>0</v>
      </c>
      <c r="F10" s="402">
        <f>IF(ISNUMBER(Datos!N10),Datos!N10," - ")</f>
        <v>13</v>
      </c>
      <c r="G10" s="403">
        <f>IF(ISNUMBER(F10/B10),F10/B10," - ")</f>
        <v>13</v>
      </c>
      <c r="H10" s="402">
        <f>IF(ISNUMBER(Datos!O10),Datos!O10," - ")</f>
        <v>2</v>
      </c>
      <c r="I10" s="403">
        <f t="shared" ref="I10:I12" si="2">IF(ISNUMBER(H10/B10),H10/B10," - ")</f>
        <v>2</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7</v>
      </c>
      <c r="C13" s="848">
        <f>Datos!AR13</f>
        <v>7</v>
      </c>
      <c r="D13" s="846">
        <f>SUBTOTAL(9,D9:D12)</f>
        <v>705</v>
      </c>
      <c r="E13" s="847">
        <f t="shared" si="0"/>
        <v>100.71428571428571</v>
      </c>
      <c r="F13" s="846">
        <f>SUBTOTAL(9,F9:F12)</f>
        <v>1850</v>
      </c>
      <c r="G13" s="847">
        <f t="shared" si="1"/>
        <v>264.28571428571428</v>
      </c>
      <c r="H13" s="846">
        <f>SUBTOTAL(9,H9:H12)</f>
        <v>848</v>
      </c>
      <c r="I13" s="847">
        <f>IF(ISNUMBER(H13/B13),H13/B13," - ")</f>
        <v>121.14285714285714</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4</v>
      </c>
      <c r="C15" s="427">
        <f>Datos!AQ15</f>
        <v>4</v>
      </c>
      <c r="D15" s="402">
        <f>IF(ISNUMBER(Datos!M15),Datos!M15," - ")</f>
        <v>313</v>
      </c>
      <c r="E15" s="403">
        <f t="shared" ref="E15:E19" si="3">IF(ISNUMBER(D15/B15),D15/B15," - ")</f>
        <v>78.25</v>
      </c>
      <c r="F15" s="402">
        <f>IF(ISNUMBER(Datos!N15),Datos!N15," - ")</f>
        <v>1422</v>
      </c>
      <c r="G15" s="403">
        <f t="shared" ref="G15:G19" si="4">IF(ISNUMBER(F15/B15),F15/B15," - ")</f>
        <v>355.5</v>
      </c>
      <c r="H15" s="402">
        <f>IF(ISNUMBER(Datos!O15),Datos!O15," - ")</f>
        <v>89</v>
      </c>
      <c r="I15" s="403">
        <f t="shared" ref="I15:I18" si="5">IF(ISNUMBER(H15/B15),H15/B15," - ")</f>
        <v>22.25</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f>IF(ISNUMBER(Datos!M17),Datos!M17," - ")</f>
        <v>0</v>
      </c>
      <c r="E17" s="403" t="str">
        <f t="shared" si="3"/>
        <v xml:space="preserve"> - </v>
      </c>
      <c r="F17" s="402">
        <f>IF(ISNUMBER(Datos!N17),Datos!N17," - ")</f>
        <v>0</v>
      </c>
      <c r="G17" s="403" t="str">
        <f t="shared" si="4"/>
        <v xml:space="preserve"> - </v>
      </c>
      <c r="H17" s="402">
        <f>IF(ISNUMBER(Datos!O17),Datos!O17," - ")</f>
        <v>0</v>
      </c>
      <c r="I17" s="403" t="str">
        <f t="shared" si="5"/>
        <v xml:space="preserve"> - </v>
      </c>
      <c r="BZ17" s="1181">
        <f>Datos!EZ17</f>
        <v>0</v>
      </c>
    </row>
    <row r="18" spans="1:78" ht="13.5" thickBot="1">
      <c r="A18" s="401" t="str">
        <f>Datos!A18</f>
        <v>Sección De Violencia sobre la Mujer del TI</v>
      </c>
      <c r="B18" s="426">
        <f>Datos!AO18</f>
        <v>1</v>
      </c>
      <c r="C18" s="427">
        <f>Datos!AQ18</f>
        <v>1</v>
      </c>
      <c r="D18" s="402">
        <f>IF(ISNUMBER(Datos!M18),Datos!M18," - ")</f>
        <v>7</v>
      </c>
      <c r="E18" s="403">
        <f>IF(ISNUMBER(D18/B18),D18/B18," - ")</f>
        <v>7</v>
      </c>
      <c r="F18" s="402">
        <f>IF(ISNUMBER(Datos!N18),Datos!N18," - ")</f>
        <v>213</v>
      </c>
      <c r="G18" s="403">
        <f>IF(ISNUMBER(F18/B18),F18/B18," - ")</f>
        <v>213</v>
      </c>
      <c r="H18" s="402">
        <f>IF(ISNUMBER(Datos!O18),Datos!O18," - ")</f>
        <v>0</v>
      </c>
      <c r="I18" s="403">
        <f t="shared" si="5"/>
        <v>0</v>
      </c>
      <c r="BZ18" s="1181">
        <f>Datos!EZ18</f>
        <v>0</v>
      </c>
    </row>
    <row r="19" spans="1:78" ht="14.25" thickTop="1" thickBot="1">
      <c r="A19" s="845" t="str">
        <f>Datos!A19</f>
        <v>TOTAL</v>
      </c>
      <c r="B19" s="846">
        <f>Datos!AP19</f>
        <v>5</v>
      </c>
      <c r="C19" s="848">
        <f>Datos!AR19</f>
        <v>5</v>
      </c>
      <c r="D19" s="846">
        <f>SUBTOTAL(9,D15:D18)</f>
        <v>320</v>
      </c>
      <c r="E19" s="847">
        <f t="shared" si="3"/>
        <v>64</v>
      </c>
      <c r="F19" s="846">
        <f>SUBTOTAL(9,F15:F18)</f>
        <v>1635</v>
      </c>
      <c r="G19" s="847">
        <f t="shared" si="4"/>
        <v>327</v>
      </c>
      <c r="H19" s="846">
        <f>SUBTOTAL(9,H15:H18)</f>
        <v>89</v>
      </c>
      <c r="I19" s="847">
        <f>IF(ISNUMBER(H19/B19),H19/B19," - ")</f>
        <v>17.8</v>
      </c>
      <c r="BZ19" s="1181"/>
    </row>
    <row r="20" spans="1:78" ht="14.25" thickTop="1" thickBot="1">
      <c r="A20" s="790" t="str">
        <f>Datos!A20</f>
        <v>TOTAL JURISDICCIONES</v>
      </c>
      <c r="B20" s="791">
        <f>Datos!AP20</f>
        <v>11</v>
      </c>
      <c r="C20" s="791">
        <f>Datos!AR20</f>
        <v>11</v>
      </c>
      <c r="D20" s="791">
        <f>SUBTOTAL(9,D8:D19)</f>
        <v>1025</v>
      </c>
      <c r="E20" s="792">
        <f>IF(ISNUMBER(D20/B20),D20/B20," - ")</f>
        <v>93.181818181818187</v>
      </c>
      <c r="F20" s="791">
        <f>SUBTOTAL(9,F8:F19)</f>
        <v>3485</v>
      </c>
      <c r="G20" s="792">
        <f>IF(ISNUMBER(F20/B20),F20/B20," - ")</f>
        <v>316.81818181818181</v>
      </c>
      <c r="H20" s="791">
        <f>SUBTOTAL(9,H8:H19)</f>
        <v>937</v>
      </c>
      <c r="I20" s="792">
        <f>IF(ISNUMBER(H20/B20),H20/B20," - ")</f>
        <v>85.181818181818187</v>
      </c>
    </row>
    <row r="23" spans="1:78">
      <c r="A23" s="390" t="str">
        <f>Criterios!A4</f>
        <v>Fecha Informe: 06 oct. 2026</v>
      </c>
    </row>
    <row r="28" spans="1:78">
      <c r="A28" s="413"/>
    </row>
  </sheetData>
  <sheetProtection algorithmName="SHA-512" hashValue="zdD+LHN2h+h5J/n4O8ZAZi8UU6AF5RVJUv/HlFujQdZyIpoTpG8l1vhi4Pmaxbx1vubbpOoWjtBGZvzCCNyssw==" saltValue="xDeYTMld+J+j3flG1aJM8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MADRID</v>
      </c>
    </row>
    <row r="3" spans="1:4" ht="19.5">
      <c r="A3" s="428" t="s">
        <v>32</v>
      </c>
      <c r="B3" s="390" t="str">
        <f>Criterios!A10 &amp;"  "&amp;Criterios!B10</f>
        <v>Provincias  MADRID</v>
      </c>
    </row>
    <row r="4" spans="1:4" ht="13.5" thickBot="1">
      <c r="B4" s="390" t="str">
        <f>Criterios!A11 &amp;"  "&amp;Criterios!B11</f>
        <v>Resumenes por Partidos Judiciales  TORREJON DE ARDOZ</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560</v>
      </c>
      <c r="C9" s="433">
        <f>IF(ISNUMBER(Datos!Q9),Datos!Q9," - ")</f>
        <v>434</v>
      </c>
      <c r="D9" s="407">
        <f>IF(ISNUMBER(Datos!R9),Datos!R9," - ")</f>
        <v>10975</v>
      </c>
    </row>
    <row r="10" spans="1:4">
      <c r="A10" s="401" t="str">
        <f>Datos!A10</f>
        <v>Sección De Violencia sobre la Mujer del TI</v>
      </c>
      <c r="B10" s="432">
        <f>IF(ISNUMBER(Datos!P10),Datos!P10," - ")</f>
        <v>5</v>
      </c>
      <c r="C10" s="433">
        <f>IF(ISNUMBER(Datos!Q10),Datos!Q10," - ")</f>
        <v>2</v>
      </c>
      <c r="D10" s="407">
        <f>IF(ISNUMBER(Datos!R10),Datos!R10," - ")</f>
        <v>73</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565</v>
      </c>
      <c r="C13" s="850">
        <f>SUBTOTAL(9,C9:C12)</f>
        <v>436</v>
      </c>
      <c r="D13" s="848">
        <f>SUBTOTAL(9,D9:D12)</f>
        <v>11048</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99</v>
      </c>
      <c r="C15" s="433">
        <f>IF(ISNUMBER(Datos!Q15),Datos!Q15," - ")</f>
        <v>106</v>
      </c>
      <c r="D15" s="407">
        <f>IF(ISNUMBER(Datos!R15),Datos!R15," - ")</f>
        <v>310</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0</v>
      </c>
      <c r="C17" s="433">
        <f>IF(ISNUMBER(Datos!Q17),Datos!Q17," - ")</f>
        <v>0</v>
      </c>
      <c r="D17" s="407">
        <f>IF(ISNUMBER(Datos!R17),Datos!R17," - ")</f>
        <v>0</v>
      </c>
    </row>
    <row r="18" spans="1:4" ht="13.5" thickBot="1">
      <c r="A18" s="401" t="str">
        <f>Datos!A18</f>
        <v>Sección De Violencia sobre la Mujer del TI</v>
      </c>
      <c r="B18" s="432">
        <f>IF(ISNUMBER(Datos!P18),Datos!P18," - ")</f>
        <v>0</v>
      </c>
      <c r="C18" s="433">
        <f>IF(ISNUMBER(Datos!Q18),Datos!Q18," - ")</f>
        <v>4</v>
      </c>
      <c r="D18" s="407">
        <f>IF(ISNUMBER(Datos!R18),Datos!R18," - ")</f>
        <v>5</v>
      </c>
    </row>
    <row r="19" spans="1:4" ht="14.25" thickTop="1" thickBot="1">
      <c r="A19" s="845" t="str">
        <f>Datos!A19</f>
        <v>TOTAL</v>
      </c>
      <c r="B19" s="846">
        <f>SUBTOTAL(9,B15:B18)</f>
        <v>99</v>
      </c>
      <c r="C19" s="850">
        <f>SUBTOTAL(9,C15:C18)</f>
        <v>110</v>
      </c>
      <c r="D19" s="848">
        <f>SUBTOTAL(9,D15:D18)</f>
        <v>315</v>
      </c>
    </row>
    <row r="20" spans="1:4" ht="16.5" customHeight="1" thickTop="1" thickBot="1">
      <c r="A20" s="790" t="str">
        <f>Datos!A20</f>
        <v>TOTAL JURISDICCIONES</v>
      </c>
      <c r="B20" s="795">
        <f>SUBTOTAL(9,B8:B19)</f>
        <v>664</v>
      </c>
      <c r="C20" s="796">
        <f>SUBTOTAL(9,C8:C19)</f>
        <v>546</v>
      </c>
      <c r="D20" s="797">
        <f>SUBTOTAL(9,D8:D19)</f>
        <v>11363</v>
      </c>
    </row>
    <row r="21" spans="1:4" ht="7.5" customHeight="1"/>
    <row r="22" spans="1:4" ht="6" customHeight="1"/>
    <row r="23" spans="1:4">
      <c r="A23" s="390" t="str">
        <f>Criterios!A4</f>
        <v>Fecha Informe: 06 oct. 2026</v>
      </c>
    </row>
    <row r="28" spans="1:4">
      <c r="A28" s="413"/>
    </row>
  </sheetData>
  <sheetProtection algorithmName="SHA-512" hashValue="BUdl8ZW+AwyfaH8sQiXR64mGI7r9Vku3FHvxvvrgSme6KNa9ELbTxu6LrXlDUCbZKYIzJdT23P053xPrqnwKfA==" saltValue="yl0yeRhRshmaC54M8DbsU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MADRID</v>
      </c>
    </row>
    <row r="3" spans="1:11" ht="18.75" customHeight="1">
      <c r="A3" s="428" t="s">
        <v>118</v>
      </c>
      <c r="B3" s="390" t="str">
        <f>Criterios!A10 &amp;"  "&amp;Criterios!B10</f>
        <v>Provincias  MADRID</v>
      </c>
    </row>
    <row r="4" spans="1:11" ht="10.5" customHeight="1" thickBot="1">
      <c r="B4" s="390" t="str">
        <f>Criterios!A11 &amp;"  "&amp;Criterios!B11</f>
        <v>Resumenes por Partidos Judiciales  TORREJON DE ARDOZ</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-4.8419636852723602E-2</v>
      </c>
      <c r="C9" s="455">
        <f>IF(ISNUMBER(
   IF(J_V="SI",(Datos!J9-Datos!T9)/Datos!T9,(Datos!J9+Datos!Z9-(Datos!T9+Datos!AH9))/(Datos!T9+Datos!AH9))
     ),IF(J_V="SI",(Datos!J9-Datos!T9)/Datos!T9,(Datos!J9+Datos!Z9-(Datos!T9+Datos!AH9))/(Datos!T9+Datos!AH9))," - ")</f>
        <v>1.8241042345276872E-2</v>
      </c>
      <c r="D9" s="455">
        <f>IF(ISNUMBER(
   IF(J_V="SI",(Datos!K9-Datos!U9)/Datos!U9,(Datos!K9+Datos!AA9-(Datos!U9+Datos!AI9))/(Datos!U9+Datos!AI9))
     ),IF(J_V="SI",(Datos!K9-Datos!U9)/Datos!U9,(Datos!K9+Datos!AA9-(Datos!U9+Datos!AI9))/(Datos!U9+Datos!AI9))," - ")</f>
        <v>-0.2354754564856533</v>
      </c>
      <c r="E9" s="455">
        <f>IF(ISNUMBER(
   IF(J_V="SI",(Datos!L9-Datos!V9)/Datos!V9,(Datos!L9+Datos!AB9-(Datos!V9+Datos!AJ9))/(Datos!V9+Datos!AJ9))
     ),IF(J_V="SI",(Datos!L9-Datos!V9)/Datos!V9,(Datos!L9+Datos!AB9-(Datos!V9+Datos!AJ9))/(Datos!V9+Datos!AJ9))," - ")</f>
        <v>4.2672132674927796E-2</v>
      </c>
      <c r="F9" s="455">
        <f>IF(ISNUMBER((Datos!M9-Datos!W9)/Datos!W9),(Datos!M9-Datos!W9)/Datos!W9," - ")</f>
        <v>-0.18872266973532797</v>
      </c>
      <c r="G9" s="456">
        <f>IF(ISNUMBER((Datos!N9-Datos!X9)/Datos!X9),(Datos!N9-Datos!X9)/Datos!X9," - ")</f>
        <v>-0.28129890453834117</v>
      </c>
      <c r="H9" s="454">
        <f>IF(ISNUMBER(((NºAsuntos!G9/NºAsuntos!E9)-Datos!BD9)/Datos!BD9),((NºAsuntos!G9/NºAsuntos!E9)-Datos!BD9)/Datos!BD9," - ")</f>
        <v>-0.24917135361834794</v>
      </c>
      <c r="I9" s="455">
        <f>IF(ISNUMBER(((NºAsuntos!I9/NºAsuntos!G9)-Datos!BE9)/Datos!BE9),((NºAsuntos!I9/NºAsuntos!G9)-Datos!BE9)/Datos!BE9," - ")</f>
        <v>0.36381773681456903</v>
      </c>
      <c r="J9" s="460">
        <f>IF(ISNUMBER((('Resol  Asuntos'!D9/NºAsuntos!G9)-Datos!BF9)/Datos!BF9),(('Resol  Asuntos'!D9/NºAsuntos!G9)-Datos!BF9)/Datos!BF9," - ")</f>
        <v>-0.63922466769184172</v>
      </c>
      <c r="K9" s="461">
        <f>IF(ISNUMBER((((NºAsuntos!C9+NºAsuntos!E9)/NºAsuntos!G9)-Datos!BG9)/Datos!BG9),(((NºAsuntos!C9+NºAsuntos!E9)/NºAsuntos!G9)-Datos!BG9)/Datos!BG9," - ")</f>
        <v>0.26255538194265982</v>
      </c>
    </row>
    <row r="10" spans="1:11" ht="21">
      <c r="A10" s="401" t="str">
        <f>Datos!A10</f>
        <v>Sección De Violencia sobre la Mujer del TI</v>
      </c>
      <c r="B10" s="454">
        <f>IF(ISNUMBER((Datos!I10-Datos!S10)/Datos!S10),(Datos!I10-Datos!S10)/Datos!S10," - ")</f>
        <v>8.4745762711864406E-3</v>
      </c>
      <c r="C10" s="455">
        <f>IF(ISNUMBER((Datos!J10-Datos!T10)/Datos!T10),(Datos!J10-Datos!T10)/Datos!T10," - ")</f>
        <v>-0.14285714285714285</v>
      </c>
      <c r="D10" s="455">
        <f>IF(ISNUMBER((Datos!K10-Datos!U10)/Datos!U10),(Datos!K10-Datos!U10)/Datos!U10," - ")</f>
        <v>-0.7021276595744681</v>
      </c>
      <c r="E10" s="455">
        <f>IF(ISNUMBER((Datos!L10-Datos!V10)/Datos!V10),(Datos!L10-Datos!V10)/Datos!V10," - ")</f>
        <v>0.27358490566037735</v>
      </c>
      <c r="F10" s="455">
        <f>IF(ISNUMBER((Datos!M10-Datos!W10)/Datos!W10),(Datos!M10-Datos!W10)/Datos!W10," - ")</f>
        <v>-1</v>
      </c>
      <c r="G10" s="456">
        <f>IF(ISNUMBER((Datos!N10-Datos!X10)/Datos!X10),(Datos!N10-Datos!X10)/Datos!X10," - ")</f>
        <v>-0.38095238095238093</v>
      </c>
      <c r="H10" s="454">
        <f>IF(ISNUMBER(((NºAsuntos!G10/NºAsuntos!E10)-Datos!BD10)/Datos!BD10),((NºAsuntos!G10/NºAsuntos!E10)-Datos!BD10)/Datos!BD10," - ")</f>
        <v>-0.65248226950354604</v>
      </c>
      <c r="I10" s="455">
        <f>IF(ISNUMBER(((NºAsuntos!I10/NºAsuntos!G10)-Datos!BE10)/Datos!BE10),((NºAsuntos!I10/NºAsuntos!G10)-Datos!BE10)/Datos!BE10," - ")</f>
        <v>3.2756064690026951</v>
      </c>
      <c r="J10" s="460">
        <f>IF(ISNUMBER((('Resol  Asuntos'!D10/NºAsuntos!G10)-Datos!BF10)/Datos!BF10),(('Resol  Asuntos'!D10/NºAsuntos!G10)-Datos!BF10)/Datos!BF10," - ")</f>
        <v>-1</v>
      </c>
      <c r="K10" s="461">
        <f>IF(ISNUMBER((((NºAsuntos!C10+NºAsuntos!E10)/NºAsuntos!G10)-Datos!BG10)/Datos!BG10),(((NºAsuntos!C10+NºAsuntos!E10)/NºAsuntos!G10)-Datos!BG10)/Datos!BG10," - ")</f>
        <v>2.2693744164332399</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-4.7860829032795073E-2</v>
      </c>
      <c r="C13" s="852">
        <f>IF(ISNUMBER(
   IF(J_V="SI",(Datos!J13-Datos!T13)/Datos!T13,(Datos!J13+Datos!Z13-(Datos!T13+Datos!AH13))/(Datos!T13+Datos!AH13))
     ),IF(J_V="SI",(Datos!J13-Datos!T13)/Datos!T13,(Datos!J13+Datos!Z13-(Datos!T13+Datos!AH13))/(Datos!T13+Datos!AH13))," - ")</f>
        <v>1.6425120772946861E-2</v>
      </c>
      <c r="D13" s="852">
        <f>IF(ISNUMBER(
   IF(J_V="SI",(Datos!K13-Datos!U13)/Datos!U13,(Datos!K13+Datos!AA13-(Datos!U13+Datos!AI13))/(Datos!U13+Datos!AI13))
     ),IF(J_V="SI",(Datos!K13-Datos!U13)/Datos!U13,(Datos!K13+Datos!AA13-(Datos!U13+Datos!AI13))/(Datos!U13+Datos!AI13))," - ")</f>
        <v>-0.24061913696060039</v>
      </c>
      <c r="E13" s="852">
        <f>IF(ISNUMBER(
   IF(J_V="SI",(Datos!L13-Datos!V13)/Datos!V13,(Datos!L13+Datos!AB13-(Datos!V13+Datos!AJ13))/(Datos!V13+Datos!AJ13))
     ),IF(J_V="SI",(Datos!L13-Datos!V13)/Datos!V13,(Datos!L13+Datos!AB13-(Datos!V13+Datos!AJ13))/(Datos!V13+Datos!AJ13))," - ")</f>
        <v>4.4930344127687059E-2</v>
      </c>
      <c r="F13" s="853">
        <f>IF(ISNUMBER((Datos!M13-Datos!W13)/Datos!W13),(Datos!M13-Datos!W13)/Datos!W13," - ")</f>
        <v>-0.20964125560538116</v>
      </c>
      <c r="G13" s="854">
        <f>IF(ISNUMBER((Datos!N13-Datos!X13)/Datos!X13),(Datos!N13-Datos!X13)/Datos!X13," - ")</f>
        <v>-0.28211098176173843</v>
      </c>
      <c r="H13" s="854">
        <f>IF(ISNUMBER(((NºAsuntos!G13/NºAsuntos!E13)-Datos!BD13)/Datos!BD13),((NºAsuntos!G13/NºAsuntos!E13)-Datos!BD13)/Datos!BD13," - ")</f>
        <v>-0.25289050071694036</v>
      </c>
      <c r="I13" s="854">
        <f>IF(ISNUMBER(((NºAsuntos!I13/NºAsuntos!G13)-Datos!BE13)/Datos!BE13),((NºAsuntos!I13/NºAsuntos!G13)-Datos!BE13)/Datos!BE13," - ")</f>
        <v>0.37602933519470588</v>
      </c>
      <c r="J13" s="854">
        <f>IF(ISNUMBER((('Resol  Asuntos'!D13/NºAsuntos!G13)-Datos!BF13)/Datos!BF13),(('Resol  Asuntos'!D13/NºAsuntos!G13)-Datos!BF13)/Datos!BF13," - ")</f>
        <v>-0.64002020404746762</v>
      </c>
      <c r="K13" s="854">
        <f>IF(ISNUMBER((((NºAsuntos!C13+NºAsuntos!E13)/NºAsuntos!G13)-Datos!BG13)/Datos!BG13),(((NºAsuntos!C13+NºAsuntos!E13)/NºAsuntos!G13)-Datos!BG13)/Datos!BG13," - ")</f>
        <v>0.27122195213014821</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0.19546364242828551</v>
      </c>
      <c r="C15" s="455">
        <f>IF(ISNUMBER(
   IF(D_I="SI",(Datos!J15-Datos!T15)/Datos!T15,(Datos!J15+Datos!AD15-(Datos!T15+Datos!AL15))/(Datos!T15+Datos!AL15))
     ),IF(D_I="SI",(Datos!J15-Datos!T15)/Datos!T15,(Datos!J15+Datos!AD15-(Datos!T15+Datos!AL15))/(Datos!T15+Datos!AL15))," - ")</f>
        <v>9.3947606142728096E-2</v>
      </c>
      <c r="D15" s="455">
        <f>IF(ISNUMBER(
   IF(D_I="SI",(Datos!K15-Datos!U15)/Datos!U15,(Datos!K15+Datos!AE15-(Datos!U15+Datos!AM15))/(Datos!U15+Datos!AM15))
     ),IF(D_I="SI",(Datos!K15-Datos!U15)/Datos!U15,(Datos!K15+Datos!AE15-(Datos!U15+Datos!AM15))/(Datos!U15+Datos!AM15))," - ")</f>
        <v>8.0572963294538946E-2</v>
      </c>
      <c r="E15" s="455">
        <f>IF(ISNUMBER(
   IF(D_I="SI",(Datos!L15-Datos!V15)/Datos!V15,(Datos!L15+Datos!AF15-(Datos!V15+Datos!AN15))/(Datos!V15+Datos!AN15))
     ),IF(D_I="SI",(Datos!L15-Datos!V15)/Datos!V15,(Datos!L15+Datos!AF15-(Datos!V15+Datos!AN15))/(Datos!V15+Datos!AN15))," - ")</f>
        <v>0.18878865979381443</v>
      </c>
      <c r="F15" s="455">
        <f>IF(ISNUMBER((Datos!M15-Datos!W15)/Datos!W15),(Datos!M15-Datos!W15)/Datos!W15," - ")</f>
        <v>9.4405594405594401E-2</v>
      </c>
      <c r="G15" s="456">
        <f>IF(ISNUMBER((Datos!N15-Datos!X15)/Datos!X15),(Datos!N15-Datos!X15)/Datos!X15," - ")</f>
        <v>5.6463595839524518E-2</v>
      </c>
      <c r="H15" s="454">
        <f>IF(ISNUMBER(((NºAsuntos!G15/NºAsuntos!E15)-Datos!BD15)/Datos!BD15),((NºAsuntos!G15/NºAsuntos!E15)-Datos!BD15)/Datos!BD15," - ")</f>
        <v>-1.2226036030508125E-2</v>
      </c>
      <c r="I15" s="455">
        <f>IF(ISNUMBER(((NºAsuntos!I15/NºAsuntos!G15)-Datos!BE15)/Datos!BE15),((NºAsuntos!I15/NºAsuntos!G15)-Datos!BE15)/Datos!BE15," - ")</f>
        <v>0.10014658905525338</v>
      </c>
      <c r="J15" s="460">
        <f>IF(ISNUMBER((('Resol  Asuntos'!D15/NºAsuntos!G15)-Datos!BF15)/Datos!BF15),(('Resol  Asuntos'!D15/NºAsuntos!G15)-Datos!BF15)/Datos!BF15," - ")</f>
        <v>1.2801200456544202E-2</v>
      </c>
      <c r="K15" s="461">
        <f>IF(ISNUMBER((((NºAsuntos!C15+NºAsuntos!E15)/NºAsuntos!G15)-Datos!BG15)/Datos!BG15),(((NºAsuntos!C15+NºAsuntos!E15)/NºAsuntos!G15)-Datos!BG15)/Datos!BG15," - ")</f>
        <v>5.0305126014399765E-2</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-0.8</v>
      </c>
      <c r="C17" s="455" t="str">
        <f>IF(ISNUMBER(
   IF(D_I="SI",(Datos!J17-Datos!T17)/Datos!T17,(Datos!J17+Datos!AD17-(Datos!T17+Datos!AL17))/(Datos!T17+Datos!AL17))
     ),IF(D_I="SI",(Datos!J17-Datos!T17)/Datos!T17,(Datos!J17+Datos!AD17-(Datos!T17+Datos!AL17))/(Datos!T17+Datos!AL17))," - ")</f>
        <v xml:space="preserve"> - </v>
      </c>
      <c r="D17" s="455">
        <f>IF(ISNUMBER(
   IF(D_I="SI",(Datos!K17-Datos!U17)/Datos!U17,(Datos!K17+Datos!AE17-(Datos!U17+Datos!AM17))/(Datos!U17+Datos!AM17))
     ),IF(D_I="SI",(Datos!K17-Datos!U17)/Datos!U17,(Datos!K17+Datos!AE17-(Datos!U17+Datos!AM17))/(Datos!U17+Datos!AM17))," - ")</f>
        <v>-1</v>
      </c>
      <c r="E17" s="455">
        <f>IF(ISNUMBER(
   IF(D_I="SI",(Datos!L17-Datos!V17)/Datos!V17,(Datos!L17+Datos!AF17-(Datos!V17+Datos!AN17))/(Datos!V17+Datos!AN17))
     ),IF(D_I="SI",(Datos!L17-Datos!V17)/Datos!V17,(Datos!L17+Datos!AF17-(Datos!V17+Datos!AN17))/(Datos!V17+Datos!AN17))," - ")</f>
        <v>-0.75</v>
      </c>
      <c r="F17" s="455" t="str">
        <f>IF(ISNUMBER((Datos!M17-Datos!W17)/Datos!W17),(Datos!M17-Datos!W17)/Datos!W17," - ")</f>
        <v xml:space="preserve"> - </v>
      </c>
      <c r="G17" s="456">
        <f>IF(ISNUMBER((Datos!N17-Datos!X17)/Datos!X17),(Datos!N17-Datos!X17)/Datos!X17," - ")</f>
        <v>-1</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1.6371681415929205</v>
      </c>
      <c r="C18" s="455">
        <f>IF(ISNUMBER(
   IF(D_I="SI",(Datos!J18-Datos!T18)/Datos!T18,(Datos!J18+Datos!AD18-(Datos!T18+Datos!AL18))/(Datos!T18+Datos!AL18))
     ),IF(D_I="SI",(Datos!J18-Datos!T18)/Datos!T18,(Datos!J18+Datos!AD18-(Datos!T18+Datos!AL18))/(Datos!T18+Datos!AL18))," - ")</f>
        <v>0.12544802867383512</v>
      </c>
      <c r="D18" s="455">
        <f>IF(ISNUMBER(
   IF(D_I="SI",(Datos!K18-Datos!U18)/Datos!U18,(Datos!K18+Datos!AE18-(Datos!U18+Datos!AM18))/(Datos!U18+Datos!AM18))
     ),IF(D_I="SI",(Datos!K18-Datos!U18)/Datos!U18,(Datos!K18+Datos!AE18-(Datos!U18+Datos!AM18))/(Datos!U18+Datos!AM18))," - ")</f>
        <v>0.1076923076923077</v>
      </c>
      <c r="E18" s="455">
        <f>IF(ISNUMBER(
   IF(D_I="SI",(Datos!L18-Datos!V18)/Datos!V18,(Datos!L18+Datos!AF18-(Datos!V18+Datos!AN18))/(Datos!V18+Datos!AN18))
     ),IF(D_I="SI",(Datos!L18-Datos!V18)/Datos!V18,(Datos!L18+Datos!AF18-(Datos!V18+Datos!AN18))/(Datos!V18+Datos!AN18))," - ")</f>
        <v>1.5597014925373134</v>
      </c>
      <c r="F18" s="455">
        <f>IF(ISNUMBER((Datos!M18-Datos!W18)/Datos!W18),(Datos!M18-Datos!W18)/Datos!W18," - ")</f>
        <v>-0.68181818181818177</v>
      </c>
      <c r="G18" s="456">
        <f>IF(ISNUMBER((Datos!N18-Datos!X18)/Datos!X18),(Datos!N18-Datos!X18)/Datos!X18," - ")</f>
        <v>0.4689655172413793</v>
      </c>
      <c r="H18" s="454">
        <f>IF(ISNUMBER(((NºAsuntos!G18/NºAsuntos!E18)-Datos!BD18)/Datos!BD18),((NºAsuntos!G18/NºAsuntos!E18)-Datos!BD18)/Datos!BD18," - ")</f>
        <v>-1.5776580107790303E-2</v>
      </c>
      <c r="I18" s="455">
        <f>IF(ISNUMBER(((NºAsuntos!I18/NºAsuntos!G18)-Datos!BE18)/Datos!BE18),((NºAsuntos!I18/NºAsuntos!G18)-Datos!BE18)/Datos!BE18," - ")</f>
        <v>1.3108416252072972</v>
      </c>
      <c r="J18" s="460">
        <f>IF(ISNUMBER((('Resol  Asuntos'!D18/NºAsuntos!G18)-Datos!BF18)/Datos!BF18),(('Resol  Asuntos'!D18/NºAsuntos!G18)-Datos!BF18)/Datos!BF18," - ")</f>
        <v>-0.7127525252525253</v>
      </c>
      <c r="K18" s="461">
        <f>IF(ISNUMBER((((NºAsuntos!C18+NºAsuntos!E18)/NºAsuntos!G18)-Datos!BG18)/Datos!BG18),(((NºAsuntos!C18+NºAsuntos!E18)/NºAsuntos!G18)-Datos!BG18)/Datos!BG18," - ")</f>
        <v>0.40943877551020413</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0.29313543599257885</v>
      </c>
      <c r="C19" s="852">
        <f>IF(ISNUMBER(
   IF(Criterios!B14="SI",(Datos!J19-Datos!T19)/Datos!T19,(Datos!J19+Datos!AD19-(Datos!T19+Datos!AL19))/(Datos!T19+Datos!AL19))
     ),IF(Criterios!B14="SI",(Datos!J19-Datos!T19)/Datos!T19,(Datos!J19+Datos!AD19-(Datos!T19+Datos!AL19))/(Datos!T19+Datos!AL19))," - ")</f>
        <v>9.7472924187725629E-2</v>
      </c>
      <c r="D19" s="852">
        <f>IF(ISNUMBER(
   IF(Criterios!B14="SI",(Datos!K19-Datos!U19)/Datos!U19,(Datos!K19+Datos!AE19-(Datos!U19+Datos!AM19))/(Datos!U19+Datos!AM19))
     ),IF(Criterios!B14="SI",(Datos!K19-Datos!U19)/Datos!U19,(Datos!K19+Datos!AE19-(Datos!U19+Datos!AM19))/(Datos!U19+Datos!AM19))," - ")</f>
        <v>8.2965931863727457E-2</v>
      </c>
      <c r="E19" s="852">
        <f>IF(ISNUMBER(
   IF(Criterios!B14="SI",(Datos!L19-Datos!V19)/Datos!V19,(Datos!L19+Datos!AF19-(Datos!V19+Datos!AN19))/(Datos!V19+Datos!AN19))
     ),IF(Criterios!B14="SI",(Datos!L19-Datos!V19)/Datos!V19,(Datos!L19+Datos!AF19-(Datos!V19+Datos!AN19))/(Datos!V19+Datos!AN19))," - ")</f>
        <v>0.29526627218934909</v>
      </c>
      <c r="F19" s="853">
        <f>IF(ISNUMBER((Datos!M19-Datos!W19)/Datos!W19),(Datos!M19-Datos!W19)/Datos!W19," - ")</f>
        <v>3.896103896103896E-2</v>
      </c>
      <c r="G19" s="854">
        <f>IF(ISNUMBER((Datos!N19-Datos!X19)/Datos!X19),(Datos!N19-Datos!X19)/Datos!X19," - ")</f>
        <v>9.5844504021447716E-2</v>
      </c>
      <c r="H19" s="854">
        <f>IF(ISNUMBER(((NºAsuntos!G19/NºAsuntos!E19)-Datos!BD19)/Datos!BD19),((NºAsuntos!G19/NºAsuntos!E19)-Datos!BD19)/Datos!BD19," - ")</f>
        <v>-1.3218542347853609E-2</v>
      </c>
      <c r="I19" s="854">
        <f>IF(ISNUMBER(((NºAsuntos!I19/NºAsuntos!G19)-Datos!BE19)/Datos!BE19),((NºAsuntos!I19/NºAsuntos!G19)-Datos!BE19)/Datos!BE19," - ")</f>
        <v>0.1960360285390178</v>
      </c>
      <c r="J19" s="854">
        <f>IF(ISNUMBER((('Resol  Asuntos'!D19/NºAsuntos!G19)-Datos!BF19)/Datos!BF19),(('Resol  Asuntos'!D19/NºAsuntos!G19)-Datos!BF19)/Datos!BF19," - ")</f>
        <v>-4.063368164034338E-2</v>
      </c>
      <c r="K19" s="854">
        <f>IF(ISNUMBER((((NºAsuntos!C19+NºAsuntos!E19)/NºAsuntos!G19)-Datos!BG19)/Datos!BG19),(((NºAsuntos!C19+NºAsuntos!E19)/NºAsuntos!G19)-Datos!BG19)/Datos!BG19," - ")</f>
        <v>8.4477840150847958E-2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-7.4095811019000805E-3</v>
      </c>
      <c r="C20" s="799">
        <f>IF(ISNUMBER(
   IF(J_V="SI",(Datos!J20-Datos!T20)/Datos!T20,(Datos!J20+Datos!Z20-(Datos!T20+Datos!AH20))/(Datos!T20+Datos!AH20))
     ),IF(J_V="SI",(Datos!J20-Datos!T20)/Datos!T20,(Datos!J20+Datos!Z20-(Datos!T20+Datos!AH20))/(Datos!T20+Datos!AH20))," - ")</f>
        <v>5.2518756698821008E-2</v>
      </c>
      <c r="D20" s="799">
        <f>IF(ISNUMBER(
   IF(J_V="SI",(Datos!K20-Datos!U20)/Datos!U20,(Datos!K20+Datos!AA20-(Datos!U20+Datos!AI20))/(Datos!U20+Datos!AI20))
     ),IF(J_V="SI",(Datos!K20-Datos!U20)/Datos!U20,(Datos!K20+Datos!AA20-(Datos!U20+Datos!AI20))/(Datos!U20+Datos!AI20))," - ")</f>
        <v>-0.12117177097203728</v>
      </c>
      <c r="E20" s="799">
        <f>IF(ISNUMBER(
   IF(J_V="SI",(Datos!L20-Datos!V20)/Datos!V20,(Datos!L20+Datos!AB20-(Datos!V20+Datos!AJ20))/(Datos!V20+Datos!AJ20))
     ),IF(J_V="SI",(Datos!L20-Datos!V20)/Datos!V20,(Datos!L20+Datos!AB20-(Datos!V20+Datos!AJ20))/(Datos!V20+Datos!AJ20))," - ")</f>
        <v>7.8697421981004073E-2</v>
      </c>
      <c r="F20" s="800">
        <f>IF(ISNUMBER((Datos!M20-Datos!W20)/Datos!W20),(Datos!M20-Datos!W20)/Datos!W20," - ")</f>
        <v>-0.14583333333333334</v>
      </c>
      <c r="G20" s="801">
        <f>IF(ISNUMBER((Datos!N20-Datos!X20)/Datos!X20),(Datos!N20-Datos!X20)/Datos!X20," - ")</f>
        <v>-0.143524207421971</v>
      </c>
      <c r="H20" s="802">
        <f>IF(ISNUMBER((Tasas!B20-Datos!BD20)/Datos!BD20),(Tasas!B20-Datos!BD20)/Datos!BD20," - ")</f>
        <v>-0.16502368871375853</v>
      </c>
      <c r="I20" s="803">
        <f>IF(ISNUMBER((Tasas!C20-Datos!BE20)/Datos!BE20),(Tasas!C20-Datos!BE20)/Datos!BE20," - ")</f>
        <v>0.22742691501171813</v>
      </c>
      <c r="J20" s="804">
        <f>IF(ISNUMBER((Tasas!D20-Datos!BF20)/Datos!BF20),(Tasas!D20-Datos!BF20)/Datos!BF20," - ")</f>
        <v>-0.59600770433815109</v>
      </c>
      <c r="K20" s="804">
        <f>IF(ISNUMBER((Tasas!E20-Datos!BG20)/Datos!BG20),(Tasas!E20-Datos!BG20)/Datos!BG20," - ")</f>
        <v>0.14929959010774441</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WOq2Ugt246NNoQp1rbJY1IHrt5x0PxrmN8sI9BtKoyyEGaA2iOjtPxlyZrhi6kVgPPRpyve54ZV/DTJ5xtDiJA==" saltValue="wSLZDhA26BunMLLSGU+kY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MADRID</v>
      </c>
    </row>
    <row r="3" spans="1:7" ht="19.5">
      <c r="A3" s="435" t="s">
        <v>12</v>
      </c>
      <c r="B3" s="390" t="str">
        <f>Criterios!A10 &amp;"  "&amp;Criterios!B10</f>
        <v>Provincias  MADRID</v>
      </c>
    </row>
    <row r="4" spans="1:7" ht="11.25" customHeight="1" thickBot="1">
      <c r="B4" s="390" t="str">
        <f>Criterios!A11 &amp;"  "&amp;Criterios!B11</f>
        <v>Resumenes por Partidos Judiciales  TORREJON DE ARDOZ</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1.0313499680102367</v>
      </c>
      <c r="C9" s="442">
        <f>IF(ISNUMBER(NºAsuntos!I9/NºAsuntos!G9),NºAsuntos!I9/NºAsuntos!G9," - ")</f>
        <v>3.4711538461538463</v>
      </c>
      <c r="D9" s="443">
        <f>IF(ISNUMBER('Resol  Asuntos'!D9/NºAsuntos!G9),'Resol  Asuntos'!D9/NºAsuntos!G9," - ")</f>
        <v>0.21867245657568238</v>
      </c>
      <c r="E9" s="444">
        <f>IF(ISNUMBER((NºAsuntos!C9+NºAsuntos!E9)/NºAsuntos!G9),(NºAsuntos!C9+NºAsuntos!E9)/NºAsuntos!G9," - ")</f>
        <v>4.4807692307692308</v>
      </c>
      <c r="G9" s="462"/>
    </row>
    <row r="10" spans="1:7" ht="21">
      <c r="A10" s="401" t="str">
        <f>Datos!A10</f>
        <v>Sección De Violencia sobre la Mujer del TI</v>
      </c>
      <c r="B10" s="441">
        <f>IF(ISNUMBER(NºAsuntos!G10/NºAsuntos!E10),NºAsuntos!G10/NºAsuntos!E10," - ")</f>
        <v>0.46666666666666667</v>
      </c>
      <c r="C10" s="442">
        <f>IF(ISNUMBER(NºAsuntos!I10/NºAsuntos!G10),NºAsuntos!I10/NºAsuntos!G10," - ")</f>
        <v>9.6428571428571423</v>
      </c>
      <c r="D10" s="443">
        <f>IF(ISNUMBER('Resol  Asuntos'!D10/NºAsuntos!G10),'Resol  Asuntos'!D10/NºAsuntos!G10," - ")</f>
        <v>0</v>
      </c>
      <c r="E10" s="444">
        <f>IF(ISNUMBER((NºAsuntos!C10+NºAsuntos!E10)/NºAsuntos!G10),(NºAsuntos!C10+NºAsuntos!E10)/NºAsuntos!G10," - ")</f>
        <v>10.642857142857142</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1.0259822560202789</v>
      </c>
      <c r="C13" s="856">
        <f>IF(ISNUMBER(NºAsuntos!I13/NºAsuntos!G13),NºAsuntos!I13/NºAsuntos!G13," - ")</f>
        <v>3.4978381717109328</v>
      </c>
      <c r="D13" s="857">
        <f>IF(ISNUMBER('Resol  Asuntos'!D13/NºAsuntos!G13),'Resol  Asuntos'!D13/NºAsuntos!G13," - ")</f>
        <v>0.21772699197035206</v>
      </c>
      <c r="E13" s="858">
        <f>IF(ISNUMBER((NºAsuntos!C13+NºAsuntos!E13)/NºAsuntos!G13),(NºAsuntos!C13+NºAsuntos!E13)/NºAsuntos!G13," - ")</f>
        <v>4.5074119827053734</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0.9966969446738233</v>
      </c>
      <c r="C15" s="442">
        <f>IF(ISNUMBER(NºAsuntos!I15/NºAsuntos!G15),NºAsuntos!I15/NºAsuntos!G15," - ")</f>
        <v>0.76429163214581608</v>
      </c>
      <c r="D15" s="443">
        <f>IF(ISNUMBER('Resol  Asuntos'!D15/NºAsuntos!G15),'Resol  Asuntos'!D15/NºAsuntos!G15," - ")</f>
        <v>0.12966031483015741</v>
      </c>
      <c r="E15" s="444">
        <f>IF(ISNUMBER((NºAsuntos!C15+NºAsuntos!E15)/NºAsuntos!G15),(NºAsuntos!C15+NºAsuntos!E15)/NºAsuntos!G15," - ")</f>
        <v>1.7456503728251864</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0.91719745222929938</v>
      </c>
      <c r="C18" s="442">
        <f>IF(ISNUMBER(NºAsuntos!I18/NºAsuntos!G18),NºAsuntos!I18/NºAsuntos!G18," - ")</f>
        <v>1.1909722222222223</v>
      </c>
      <c r="D18" s="443">
        <f>IF(ISNUMBER('Resol  Asuntos'!D18/NºAsuntos!G18),'Resol  Asuntos'!D18/NºAsuntos!G18," - ")</f>
        <v>2.4305555555555556E-2</v>
      </c>
      <c r="E18" s="444">
        <f>IF(ISNUMBER((NºAsuntos!C18+NºAsuntos!E18)/NºAsuntos!G18),(NºAsuntos!C18+NºAsuntos!E18)/NºAsuntos!G18," - ")</f>
        <v>2.125</v>
      </c>
      <c r="G18" s="462"/>
    </row>
    <row r="19" spans="1:7" ht="14.25" thickTop="1" thickBot="1">
      <c r="A19" s="845" t="str">
        <f>Datos!A19</f>
        <v>TOTAL</v>
      </c>
      <c r="B19" s="855">
        <f>IF(ISNUMBER(NºAsuntos!G19/NºAsuntos!E19),NºAsuntos!G19/NºAsuntos!E19," - ")</f>
        <v>0.98757309941520466</v>
      </c>
      <c r="C19" s="856">
        <f>IF(ISNUMBER(NºAsuntos!I19/NºAsuntos!G19),NºAsuntos!I19/NºAsuntos!G19," - ")</f>
        <v>0.81014063656550706</v>
      </c>
      <c r="D19" s="859">
        <f>IF(ISNUMBER('Resol  Asuntos'!D19/NºAsuntos!G19),'Resol  Asuntos'!D19/NºAsuntos!G19," - ")</f>
        <v>0.11843079200592153</v>
      </c>
      <c r="E19" s="858">
        <f>IF(ISNUMBER((NºAsuntos!C19+NºAsuntos!E19)/NºAsuntos!G19),(NºAsuntos!C19+NºAsuntos!E19)/NºAsuntos!G19," - ")</f>
        <v>1.7864544781643228</v>
      </c>
      <c r="G19" s="462"/>
    </row>
    <row r="20" spans="1:7" ht="15.75" customHeight="1" thickTop="1" thickBot="1">
      <c r="A20" s="790" t="str">
        <f>Datos!A20</f>
        <v>TOTAL JURISDICCIONES</v>
      </c>
      <c r="B20" s="805">
        <f>IF(ISNUMBER(NºAsuntos!G20/NºAsuntos!E20),NºAsuntos!G20/NºAsuntos!E20," - ")</f>
        <v>1.0081466395112015</v>
      </c>
      <c r="C20" s="806">
        <f>IF(ISNUMBER(NºAsuntos!I20/NºAsuntos!G20),NºAsuntos!I20/NºAsuntos!G20," - ")</f>
        <v>2.2752525252525251</v>
      </c>
      <c r="D20" s="807">
        <f>IF(ISNUMBER('Resol  Asuntos'!D20/NºAsuntos!G20),'Resol  Asuntos'!D20/NºAsuntos!G20," - ")</f>
        <v>0.17255892255892255</v>
      </c>
      <c r="E20" s="808">
        <f>IF(ISNUMBER((NºAsuntos!C20+NºAsuntos!E20)/NºAsuntos!G20),(NºAsuntos!C20+NºAsuntos!E20)/NºAsuntos!G20," - ")</f>
        <v>3.2696969696969695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tXwnZvMhBSGpqwX7f4PepDPecUI7pYqABR4dtVJE1x4iGCwBtvZ3gSgazro6jTqDslWUw6KluNvs9VYh8UFkVQ==" saltValue="GDw61VMXWo+jUUfatQk7l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MADRID</v>
      </c>
      <c r="G2" s="262"/>
      <c r="H2" s="261"/>
      <c r="I2" s="261"/>
      <c r="J2" s="261"/>
      <c r="K2" s="261"/>
      <c r="L2" s="261" t="str">
        <f>Criterios!A10 &amp;"  "&amp;Criterios!B10</f>
        <v>Provincias  MADRID</v>
      </c>
      <c r="N2" s="261" t="str">
        <f>Criterios!A11 &amp;"  "&amp;Criterios!B11</f>
        <v>Resumenes por Partidos Judiciales  TORREJON DE ARDOZ</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6</v>
      </c>
      <c r="B9" s="176" t="s">
        <v>247</v>
      </c>
      <c r="C9" s="159" t="str">
        <f>Datos!A9</f>
        <v>Sección Civil del T.I</v>
      </c>
      <c r="D9" s="159"/>
      <c r="E9" s="1020">
        <f>IF(ISNUMBER(Datos!AQ9),Datos!AQ9," - ")</f>
        <v>6</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560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434</v>
      </c>
      <c r="Y9" s="333">
        <f>SUM(W9:X9)</f>
        <v>434</v>
      </c>
      <c r="Z9" s="334" t="str">
        <f>IF(ISNUMBER(Datos!CC9),Datos!CC9," - ")</f>
        <v xml:space="preserve"> - </v>
      </c>
      <c r="AA9" s="331" t="str">
        <f>IF(ISNUMBER(IF(J_V="SI",Datos!L9,Datos!L9+Datos!AB9)-IF(Monitorios="SI",Datos!CD9,0)),
                          IF(J_V="SI",Datos!L9,Datos!L9+Datos!AB9)-IF(Monitorios="SI",Datos!CD9,0),
                          " - ")</f>
        <v xml:space="preserve"> - </v>
      </c>
      <c r="AB9" s="333">
        <f>IF(ISNUMBER(Datos!R9),Datos!R9," - ")</f>
        <v>10975</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705</v>
      </c>
      <c r="AJ9" s="228" t="str">
        <f>IF(ISNUMBER(Datos!BW9),Datos!BW9," - ")</f>
        <v xml:space="preserve"> - </v>
      </c>
      <c r="AK9" s="227" t="str">
        <f>IF(ISNUMBER(Datos!BX9),Datos!BX9," - ")</f>
        <v xml:space="preserve"> - </v>
      </c>
      <c r="AL9" s="242">
        <f>IF(ISNUMBER(NºAsuntos!G9/NºAsuntos!E9),NºAsuntos!G9/NºAsuntos!E9," - ")</f>
        <v>1.0313499680102367</v>
      </c>
      <c r="AM9" s="259">
        <f>IF(ISNUMBER(((NºAsuntos!I9/NºAsuntos!G9)*11)/factor_trimestre),((NºAsuntos!I9/NºAsuntos!G9)*11)/factor_trimestre," - ")</f>
        <v>10.413461538461538</v>
      </c>
      <c r="AN9" s="243">
        <f>IF(ISNUMBER('Resol  Asuntos'!D9/NºAsuntos!G9),'Resol  Asuntos'!D9/NºAsuntos!G9," - ")</f>
        <v>0.21867245657568238</v>
      </c>
      <c r="AO9" s="244">
        <f>IF(ISNUMBER((NºAsuntos!C9+NºAsuntos!E9)/NºAsuntos!G9),(NºAsuntos!C9+NºAsuntos!E9)/NºAsuntos!G9," - ")</f>
        <v>4.4807692307692308</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1</v>
      </c>
      <c r="F10" s="224">
        <f>IF(ISNUMBER(Datos!L10+Datos!K10-Datos!J10-K10),Datos!L10+Datos!K10-Datos!J10-K10," - ")</f>
        <v>119</v>
      </c>
      <c r="G10" s="332">
        <f>IF(ISNUMBER(Datos!I10),Datos!I10," - ")</f>
        <v>119</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5</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14</v>
      </c>
      <c r="X10" s="225">
        <f>IF(ISNUMBER(Datos!Q10),Datos!Q10," - ")</f>
        <v>2</v>
      </c>
      <c r="Y10" s="333">
        <f t="shared" ref="Y10:Y12" si="0">SUM(W10:X10)</f>
        <v>16</v>
      </c>
      <c r="Z10" s="334" t="str">
        <f>IF(ISNUMBER(Datos!CC10),Datos!CC10," - ")</f>
        <v xml:space="preserve"> - </v>
      </c>
      <c r="AA10" s="331">
        <f>IF(ISNUMBER(Datos!L10),Datos!L10,"-")</f>
        <v>135</v>
      </c>
      <c r="AB10" s="333">
        <f>IF(ISNUMBER(Datos!R10),Datos!R10," - ")</f>
        <v>73</v>
      </c>
      <c r="AC10" s="333">
        <f t="shared" ref="AC10:AC12" si="1">IF(ISNUMBER(AA10+AB10),AA10+AB10," - ")</f>
        <v>208</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0.46666666666666667</v>
      </c>
      <c r="AM10" s="259">
        <f>IF(ISNUMBER(((NºAsuntos!I10/NºAsuntos!G10)*11)/factor_trimestre),((NºAsuntos!I10/NºAsuntos!G10)*11)/factor_trimestre," - ")</f>
        <v>28.928571428571431</v>
      </c>
      <c r="AN10" s="243">
        <f>IF(ISNUMBER('Resol  Asuntos'!D10/NºAsuntos!G10),'Resol  Asuntos'!D10/NºAsuntos!G10," - ")</f>
        <v>0</v>
      </c>
      <c r="AO10" s="244">
        <f>IF(ISNUMBER((NºAsuntos!C10+NºAsuntos!E10)/NºAsuntos!G10),(NºAsuntos!C10+NºAsuntos!E10)/NºAsuntos!G10," - ")</f>
        <v>10.642857142857142</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7</v>
      </c>
      <c r="F13" s="862">
        <f t="shared" si="3"/>
        <v>119</v>
      </c>
      <c r="G13" s="863">
        <f t="shared" si="3"/>
        <v>119</v>
      </c>
      <c r="H13" s="862">
        <f t="shared" si="3"/>
        <v>0</v>
      </c>
      <c r="I13" s="864">
        <f t="shared" si="3"/>
        <v>0</v>
      </c>
      <c r="J13" s="864">
        <f t="shared" si="3"/>
        <v>0</v>
      </c>
      <c r="K13" s="864">
        <f t="shared" si="3"/>
        <v>0</v>
      </c>
      <c r="L13" s="864">
        <f t="shared" si="3"/>
        <v>565</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14</v>
      </c>
      <c r="X13" s="864">
        <f t="shared" si="4"/>
        <v>436</v>
      </c>
      <c r="Y13" s="865">
        <f t="shared" si="4"/>
        <v>450</v>
      </c>
      <c r="Z13" s="865">
        <f t="shared" si="4"/>
        <v>0</v>
      </c>
      <c r="AA13" s="865">
        <f t="shared" si="4"/>
        <v>135</v>
      </c>
      <c r="AB13" s="865">
        <f t="shared" si="4"/>
        <v>11048</v>
      </c>
      <c r="AC13" s="865">
        <f t="shared" si="4"/>
        <v>208</v>
      </c>
      <c r="AD13" s="865">
        <f t="shared" si="4"/>
        <v>0</v>
      </c>
      <c r="AE13" s="869">
        <f t="shared" si="4"/>
        <v>0</v>
      </c>
      <c r="AF13" s="862">
        <f t="shared" si="4"/>
        <v>0</v>
      </c>
      <c r="AG13" s="870">
        <f t="shared" si="4"/>
        <v>0</v>
      </c>
      <c r="AH13" s="867">
        <f t="shared" si="4"/>
        <v>0</v>
      </c>
      <c r="AI13" s="862">
        <f t="shared" si="4"/>
        <v>705</v>
      </c>
      <c r="AJ13" s="864">
        <f t="shared" si="4"/>
        <v>0</v>
      </c>
      <c r="AK13" s="867">
        <f>SUBTOTAL(9,AK9:AK12)</f>
        <v>0</v>
      </c>
      <c r="AL13" s="871">
        <f>IF(ISNUMBER(NºAsuntos!G13/NºAsuntos!E13),NºAsuntos!G13/NºAsuntos!E13," - ")</f>
        <v>1.0259822560202789</v>
      </c>
      <c r="AM13" s="871">
        <f>IF(ISNUMBER(((NºAsuntos!I13/NºAsuntos!G13)*11)/factor_trimestre),((NºAsuntos!I13/NºAsuntos!G13)*11)/factor_trimestre," - ")</f>
        <v>10.493514515132798</v>
      </c>
      <c r="AN13" s="872">
        <f>IF(ISNUMBER('Resol  Asuntos'!D13/NºAsuntos!G13),'Resol  Asuntos'!D13/NºAsuntos!G13," - ")</f>
        <v>0.21772699197035206</v>
      </c>
      <c r="AO13" s="873">
        <f>IF(ISNUMBER((NºAsuntos!C13+NºAsuntos!E13)/NºAsuntos!G13),(NºAsuntos!C13+NºAsuntos!E13)/NºAsuntos!G13," - ")</f>
        <v>4.5074119827053734</v>
      </c>
      <c r="AP13" s="874" t="str">
        <f t="shared" si="2"/>
        <v xml:space="preserve"> - </v>
      </c>
      <c r="AQ13" s="874">
        <f>IF(ISNUMBER((H13-W13+K13)/(F13)),(H13-W13+K13)/(F13)," - ")</f>
        <v>-0.11764705882352941</v>
      </c>
      <c r="AR13" s="875">
        <f>IF(ISNUMBER((Datos!P13-Datos!Q13)/(Datos!R13-Datos!P13+Datos!Q13)),(Datos!P13-Datos!Q13)/(Datos!R13-Datos!P13+Datos!Q13)," - ")</f>
        <v>1.1814268705925451E-2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4</v>
      </c>
      <c r="B15" s="274" t="s">
        <v>397</v>
      </c>
      <c r="C15" s="159" t="str">
        <f>Datos!A15</f>
        <v xml:space="preserve">Seccion Instruccion Del T.I.                   </v>
      </c>
      <c r="D15" s="159"/>
      <c r="E15" s="1020">
        <f>IF(ISNUMBER(Datos!AQ15),Datos!AQ15," - ")</f>
        <v>4</v>
      </c>
      <c r="F15" s="224">
        <f>IF(ISNUMBER(AA15+W15-Datos!J15-K15),AA15+W15-Datos!J15-K15," - ")</f>
        <v>1837</v>
      </c>
      <c r="G15" s="332">
        <f>IF(ISNUMBER(IF(D_I="SI",Datos!I15,Datos!I15+Datos!AC15)),IF(D_I="SI",Datos!I15,Datos!I15+Datos!AC15)," - ")</f>
        <v>1792</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99</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2414</v>
      </c>
      <c r="X15" s="225">
        <f>IF(ISNUMBER(Datos!Q15),Datos!Q15," - ")</f>
        <v>106</v>
      </c>
      <c r="Y15" s="333">
        <f>SUM(W15)</f>
        <v>2414</v>
      </c>
      <c r="Z15" s="334" t="str">
        <f>IF(ISNUMBER(Datos!CC15),Datos!CC15," - ")</f>
        <v xml:space="preserve"> - </v>
      </c>
      <c r="AA15" s="331">
        <f>IF(ISNUMBER(IF(D_I="SI",Datos!L15,Datos!L15+Datos!AF15)),IF(D_I="SI",Datos!L15,Datos!L15+Datos!AF15)," - ")</f>
        <v>1845</v>
      </c>
      <c r="AB15" s="333">
        <f>IF(ISNUMBER(Datos!R15),Datos!R15," - ")</f>
        <v>310</v>
      </c>
      <c r="AC15" s="333">
        <f t="shared" ref="AC15:AC18" si="6">IF(ISNUMBER(AA15+AB15),AA15+AB15," - ")</f>
        <v>2155</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313</v>
      </c>
      <c r="AJ15" s="230" t="str">
        <f>IF(ISNUMBER(Datos!BW15),Datos!BW15," - ")</f>
        <v xml:space="preserve"> - </v>
      </c>
      <c r="AK15" s="231" t="str">
        <f>IF(ISNUMBER(Datos!BX15),Datos!BX15," - ")</f>
        <v xml:space="preserve"> - </v>
      </c>
      <c r="AL15" s="242">
        <f>IF(ISNUMBER(NºAsuntos!G15/NºAsuntos!E15),NºAsuntos!G15/NºAsuntos!E15," - ")</f>
        <v>0.9966969446738233</v>
      </c>
      <c r="AM15" s="259">
        <f>IF(ISNUMBER(((NºAsuntos!I15/NºAsuntos!G15)*11)/factor_trimestre),((NºAsuntos!I15/NºAsuntos!G15)*11)/factor_trimestre," - ")</f>
        <v>2.2928748964374486</v>
      </c>
      <c r="AN15" s="243">
        <f>IF(ISNUMBER('Resol  Asuntos'!D15/NºAsuntos!G15),'Resol  Asuntos'!D15/NºAsuntos!G15," - ")</f>
        <v>0.12966031483015741</v>
      </c>
      <c r="AO15" s="244">
        <f>IF(ISNUMBER((NºAsuntos!C15+NºAsuntos!E15)/NºAsuntos!G15),(NºAsuntos!C15+NºAsuntos!E15)/NºAsuntos!G15," - ")</f>
        <v>1.7456503728251864</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f>IF(ISNUMBER(AA17+W17-Datos!J17-K17),AA17+W17-Datos!J17-K17," - ")</f>
        <v>1</v>
      </c>
      <c r="G17" s="332">
        <f>IF(ISNUMBER(IF(D_I="SI",Datos!I17,Datos!I17+Datos!AC17)),IF(D_I="SI",Datos!I17,Datos!I17+Datos!AC17)," - ")</f>
        <v>1</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0</v>
      </c>
      <c r="X17" s="225">
        <f>IF(ISNUMBER(Datos!Q17),Datos!Q17," - ")</f>
        <v>0</v>
      </c>
      <c r="Y17" s="333">
        <f t="shared" ref="Y17:Y18" si="9">SUM(W17:X17)</f>
        <v>0</v>
      </c>
      <c r="Z17" s="334" t="str">
        <f>IF(ISNUMBER(Datos!CC17),Datos!CC17," - ")</f>
        <v xml:space="preserve"> - </v>
      </c>
      <c r="AA17" s="331">
        <f>IF(ISNUMBER(IF(D_I="SI",Datos!L17,Datos!L17+Datos!AF17)),IF(D_I="SI",Datos!L17,Datos!L17+Datos!AF17)," - ")</f>
        <v>1</v>
      </c>
      <c r="AB17" s="333">
        <f>IF(ISNUMBER(Datos!R17),Datos!R17," - ")</f>
        <v>0</v>
      </c>
      <c r="AC17" s="333">
        <f t="shared" si="6"/>
        <v>1</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0</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1</v>
      </c>
      <c r="F18" s="224" t="str">
        <f>IF(ISNUMBER(AA18+W18-H18-K18),AA18+W18-H18-K18," - ")</f>
        <v xml:space="preserve"> - </v>
      </c>
      <c r="G18" s="332">
        <f>IF(ISNUMBER(IF(D_I="SI",Datos!I18,Datos!I18+Datos!AC18)),IF(D_I="SI",Datos!I18,Datos!I18+Datos!AC18)," - ")</f>
        <v>298</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288</v>
      </c>
      <c r="X18" s="225">
        <f>IF(ISNUMBER(Datos!Q18),Datos!Q18," - ")</f>
        <v>4</v>
      </c>
      <c r="Y18" s="333">
        <f t="shared" si="9"/>
        <v>292</v>
      </c>
      <c r="Z18" s="334" t="str">
        <f>IF(ISNUMBER(Datos!CC18),Datos!CC18," - ")</f>
        <v xml:space="preserve"> - </v>
      </c>
      <c r="AA18" s="331">
        <f>IF(ISNUMBER(Datos!L18),Datos!L18,"-")</f>
        <v>343</v>
      </c>
      <c r="AB18" s="333">
        <f>IF(ISNUMBER(Datos!R18),Datos!R18," - ")</f>
        <v>5</v>
      </c>
      <c r="AC18" s="333">
        <f t="shared" si="6"/>
        <v>348</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7</v>
      </c>
      <c r="AJ18" s="230" t="str">
        <f>IF(ISNUMBER(Datos!BW18),Datos!BW18," - ")</f>
        <v xml:space="preserve"> - </v>
      </c>
      <c r="AK18" s="231" t="str">
        <f>IF(ISNUMBER(Datos!BX18),Datos!BX18," - ")</f>
        <v xml:space="preserve"> - </v>
      </c>
      <c r="AL18" s="242">
        <f>IF(ISNUMBER(NºAsuntos!G18/NºAsuntos!E18),NºAsuntos!G18/NºAsuntos!E18," - ")</f>
        <v>0.91719745222929938</v>
      </c>
      <c r="AM18" s="259">
        <f>IF(ISNUMBER(((NºAsuntos!I18/NºAsuntos!G18)*11)/factor_trimestre),((NºAsuntos!I18/NºAsuntos!G18)*11)/factor_trimestre," - ")</f>
        <v>3.5729166666666674</v>
      </c>
      <c r="AN18" s="243">
        <f>IF(ISNUMBER('Resol  Asuntos'!D18/NºAsuntos!G18),'Resol  Asuntos'!D18/NºAsuntos!G18," - ")</f>
        <v>2.4305555555555556E-2</v>
      </c>
      <c r="AO18" s="244">
        <f>IF(ISNUMBER((NºAsuntos!C18+NºAsuntos!E18)/NºAsuntos!G18),(NºAsuntos!C18+NºAsuntos!E18)/NºAsuntos!G18," - ")</f>
        <v>2.125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5</v>
      </c>
      <c r="F19" s="862">
        <f>SUBTOTAL(9,F14:F18)</f>
        <v>1838</v>
      </c>
      <c r="G19" s="863">
        <f>SUBTOTAL(9,G15:G18)</f>
        <v>2091</v>
      </c>
      <c r="H19" s="862">
        <f t="shared" ref="H19:O19" si="12">SUBTOTAL(9,H14:H18)</f>
        <v>0</v>
      </c>
      <c r="I19" s="864">
        <f t="shared" si="12"/>
        <v>0</v>
      </c>
      <c r="J19" s="864">
        <f t="shared" si="12"/>
        <v>0</v>
      </c>
      <c r="K19" s="864">
        <f t="shared" si="12"/>
        <v>0</v>
      </c>
      <c r="L19" s="864">
        <f t="shared" si="12"/>
        <v>99</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2702</v>
      </c>
      <c r="X19" s="864">
        <f t="shared" si="13"/>
        <v>110</v>
      </c>
      <c r="Y19" s="865">
        <f t="shared" si="13"/>
        <v>2706</v>
      </c>
      <c r="Z19" s="865">
        <f t="shared" si="13"/>
        <v>0</v>
      </c>
      <c r="AA19" s="865">
        <f t="shared" si="13"/>
        <v>2189</v>
      </c>
      <c r="AB19" s="865">
        <f t="shared" si="13"/>
        <v>315</v>
      </c>
      <c r="AC19" s="865">
        <f t="shared" si="13"/>
        <v>2504</v>
      </c>
      <c r="AD19" s="865">
        <f t="shared" si="13"/>
        <v>0</v>
      </c>
      <c r="AE19" s="869">
        <f t="shared" si="13"/>
        <v>0</v>
      </c>
      <c r="AF19" s="862">
        <f t="shared" si="13"/>
        <v>0</v>
      </c>
      <c r="AG19" s="870">
        <f t="shared" si="13"/>
        <v>0</v>
      </c>
      <c r="AH19" s="867">
        <f t="shared" si="13"/>
        <v>0</v>
      </c>
      <c r="AI19" s="862">
        <f t="shared" si="13"/>
        <v>320</v>
      </c>
      <c r="AJ19" s="864">
        <f t="shared" si="13"/>
        <v>0</v>
      </c>
      <c r="AK19" s="867">
        <f t="shared" si="13"/>
        <v>0</v>
      </c>
      <c r="AL19" s="871">
        <f>IF(ISNUMBER(NºAsuntos!G19/NºAsuntos!E19),NºAsuntos!G19/NºAsuntos!E19," - ")</f>
        <v>0.98757309941520466</v>
      </c>
      <c r="AM19" s="871">
        <f>IF(ISNUMBER(((NºAsuntos!I19/NºAsuntos!G19)*11)/factor_trimestre),((NºAsuntos!I19/NºAsuntos!G19)*11)/factor_trimestre," - ")</f>
        <v>2.4304219096965212</v>
      </c>
      <c r="AN19" s="872">
        <f>IF(ISNUMBER('Resol  Asuntos'!D19/NºAsuntos!G19),'Resol  Asuntos'!D19/NºAsuntos!G19," - ")</f>
        <v>0.11843079200592153</v>
      </c>
      <c r="AO19" s="873">
        <f>IF(ISNUMBER((NºAsuntos!C19+NºAsuntos!E19)/NºAsuntos!G19),(NºAsuntos!C19+NºAsuntos!E19)/NºAsuntos!G19," - ")</f>
        <v>1.7864544781643228</v>
      </c>
      <c r="AP19" s="874" t="str">
        <f t="shared" si="2"/>
        <v xml:space="preserve"> - </v>
      </c>
      <c r="AQ19" s="874">
        <f>IF(ISNUMBER((H19-W19+K19)/(F19)),(H19-W19+K19)/(F19)," - ")</f>
        <v>-1.470076169749728</v>
      </c>
      <c r="AR19" s="875">
        <f>IF(ISNUMBER((Datos!P19-Datos!Q19)/(Datos!R19-Datos!P19+Datos!Q19)),(Datos!P19-Datos!Q19)/(Datos!R19-Datos!P19+Datos!Q19)," - ")</f>
        <v>-3.3742331288343558E-2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12</v>
      </c>
      <c r="F20" s="817">
        <f t="shared" si="15"/>
        <v>1957</v>
      </c>
      <c r="G20" s="818">
        <f t="shared" si="15"/>
        <v>2210</v>
      </c>
      <c r="H20" s="817">
        <f t="shared" si="15"/>
        <v>0</v>
      </c>
      <c r="I20" s="819">
        <f t="shared" si="15"/>
        <v>0</v>
      </c>
      <c r="J20" s="819">
        <f t="shared" si="15"/>
        <v>0</v>
      </c>
      <c r="K20" s="878">
        <f t="shared" si="15"/>
        <v>0</v>
      </c>
      <c r="L20" s="819">
        <f t="shared" si="15"/>
        <v>664</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2716</v>
      </c>
      <c r="X20" s="818">
        <f t="shared" si="16"/>
        <v>546</v>
      </c>
      <c r="Y20" s="825">
        <f t="shared" si="16"/>
        <v>3156</v>
      </c>
      <c r="Z20" s="825">
        <f t="shared" si="16"/>
        <v>0</v>
      </c>
      <c r="AA20" s="825">
        <f t="shared" si="16"/>
        <v>2324</v>
      </c>
      <c r="AB20" s="825">
        <f t="shared" si="16"/>
        <v>11363</v>
      </c>
      <c r="AC20" s="825">
        <f t="shared" si="16"/>
        <v>2712</v>
      </c>
      <c r="AD20" s="825">
        <f t="shared" si="16"/>
        <v>0</v>
      </c>
      <c r="AE20" s="827">
        <f t="shared" si="16"/>
        <v>0</v>
      </c>
      <c r="AF20" s="828">
        <f t="shared" si="16"/>
        <v>0</v>
      </c>
      <c r="AG20" s="829">
        <f t="shared" si="16"/>
        <v>0</v>
      </c>
      <c r="AH20" s="827">
        <f t="shared" si="16"/>
        <v>0</v>
      </c>
      <c r="AI20" s="817">
        <f t="shared" si="16"/>
        <v>1025</v>
      </c>
      <c r="AJ20" s="817">
        <f t="shared" si="16"/>
        <v>0</v>
      </c>
      <c r="AK20" s="827">
        <f t="shared" si="16"/>
        <v>0</v>
      </c>
      <c r="AL20" s="881">
        <f>IF(ISNUMBER(NºAsuntos!G20/NºAsuntos!E20),NºAsuntos!G20/NºAsuntos!E20," - ")</f>
        <v>1.0081466395112015</v>
      </c>
      <c r="AM20" s="882">
        <f>IF(ISNUMBER(((NºAsuntos!I20/NºAsuntos!G20)*11)/factor_trimestre),((NºAsuntos!I20/NºAsuntos!G20)*11)/factor_trimestre," - ")</f>
        <v>6.8257575757575752</v>
      </c>
      <c r="AN20" s="882">
        <f>IF(ISNUMBER('Resol  Asuntos'!D20/NºAsuntos!G20),'Resol  Asuntos'!D20/NºAsuntos!G20," - ")</f>
        <v>0.17255892255892255</v>
      </c>
      <c r="AO20" s="883">
        <f>IF(ISNUMBER((NºAsuntos!C20+NºAsuntos!E20)/NºAsuntos!G20),(NºAsuntos!C20+NºAsuntos!E20)/NºAsuntos!G20," - ")</f>
        <v>3.2696969696969695</v>
      </c>
      <c r="AP20" s="884" t="str">
        <f t="shared" si="2"/>
        <v xml:space="preserve"> - </v>
      </c>
      <c r="AQ20" s="885">
        <f>IF(OR(ISNUMBER(FIND("01",Criterios!A8,1)),ISNUMBER(FIND("02",Criterios!A8,1)),ISNUMBER(FIND("03",Criterios!A8,1)),ISNUMBER(FIND("04",Criterios!A8,1))),(I20-W20+K20)/(F20-K20),(H20-W20+K20)/(F20-K20))</f>
        <v>-1.3878385283597343</v>
      </c>
      <c r="AR20" s="886">
        <f>IF(ISNUMBER((Datos!P20-Datos!Q20)/(Datos!R20-Datos!P20+Datos!Q20)),(Datos!P20-Datos!Q20)/(Datos!R20-Datos!P20+Datos!Q20)," - ")</f>
        <v>1.0493552690084482E-2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736.66666666666663</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2.7968235951204043</v>
      </c>
      <c r="F22" s="251">
        <f>IF(ISNUMBER(STDEV(F8:F19)),STDEV(F8:F19),"-")</f>
        <v>964.00943978780617</v>
      </c>
      <c r="G22" s="252">
        <f>IF(ISNUMBER(STDEV(G8:G19)),STDEV(G8:G19),"-")</f>
        <v>942.82610627128201</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1287.9258777843804</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314.67201367531271</v>
      </c>
      <c r="AJ22" s="251">
        <f t="shared" si="20"/>
        <v>0</v>
      </c>
      <c r="AK22" s="253">
        <f t="shared" si="20"/>
        <v>0</v>
      </c>
      <c r="AL22" s="248">
        <f t="shared" si="20"/>
        <v>0.21822425641605789</v>
      </c>
      <c r="AM22" s="249">
        <f t="shared" si="20"/>
        <v>10.160012734501638</v>
      </c>
      <c r="AN22" s="249">
        <f t="shared" si="20"/>
        <v>9.2648916077606627E-2</v>
      </c>
      <c r="AO22" s="250">
        <f t="shared" si="20"/>
        <v>3.4010911736934162</v>
      </c>
      <c r="AP22" s="290" t="str">
        <f t="shared" si="20"/>
        <v>-</v>
      </c>
      <c r="AQ22" s="291">
        <f t="shared" si="20"/>
        <v>0.95631179541000855</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D0vguLF4f/iaAx865KZROJ+oURL9WwR6SEwmLFaVSrQncGMp2gXtxCXe+t0fChiF1PvNXwWEIenL1An9WWxPZA==" saltValue="28lWXNh/Nwmd48HhDX8Xq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MADRID</v>
      </c>
      <c r="E2" s="262"/>
    </row>
    <row r="3" spans="2:20" ht="17.25" customHeight="1">
      <c r="C3" s="266"/>
      <c r="D3" s="261" t="str">
        <f>Criterios!A10 &amp;"  "&amp;Criterios!B10</f>
        <v>Provincias  MADRID</v>
      </c>
      <c r="E3" s="262"/>
    </row>
    <row r="4" spans="2:20" ht="17.25" customHeight="1" thickBot="1">
      <c r="D4" s="261" t="str">
        <f>Criterios!A11 &amp;"  "&amp;Criterios!B11</f>
        <v>Resumenes por Partidos Judiciales  TORREJON DE ARDOZ</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-0.18872266973532797</v>
      </c>
      <c r="I9" s="349">
        <f>IF(ISNUMBER((Tasas!C9-Datos!BE9)/Datos!BE9),(Tasas!C9-Datos!BE9)/Datos!BE9," - ")</f>
        <v>0.36381773681456903</v>
      </c>
      <c r="J9" s="348">
        <f>IF(ISNUMBER((Tasas!D9-Datos!BF9)/Datos!BF9),(Tasas!D9-Datos!BF9)/Datos!BF9," - ")</f>
        <v>-0.63922466769184172</v>
      </c>
      <c r="K9" s="350">
        <f>IF(ISNUMBER((Tasas!E9-Datos!BG9)/Datos!BG9),(Tasas!E9-Datos!BG9)/Datos!BG9," - ")</f>
        <v>0.26255538194265982</v>
      </c>
      <c r="M9" t="e">
        <f>IF(Monitorios="SI",Datos!CE9,0)</f>
        <v>#REF!</v>
      </c>
      <c r="N9" t="e">
        <f>IF(Monitorios="SI",Datos!CF9,0)</f>
        <v>#REF!</v>
      </c>
      <c r="O9" t="e">
        <f>IF(Monitorios="SI",Datos!CG9,0)</f>
        <v>#REF!</v>
      </c>
      <c r="P9" t="e">
        <f>IF(Monitorios="SI",Datos!CH9,0)</f>
        <v>#REF!</v>
      </c>
      <c r="Q9">
        <f>IF(J_V="SI",0,Datos!AG9)</f>
        <v>188</v>
      </c>
      <c r="R9">
        <f>IF(J_V="SI",0,Datos!AH9)</f>
        <v>310</v>
      </c>
      <c r="S9">
        <f>IF(J_V="SI",0,Datos!AI9)</f>
        <v>284</v>
      </c>
      <c r="T9">
        <f>IF(J_V="SI",0,Datos!AJ9)</f>
        <v>214</v>
      </c>
    </row>
    <row r="10" spans="2:20" ht="14.25">
      <c r="B10" s="274" t="s">
        <v>247</v>
      </c>
      <c r="C10" s="7" t="str">
        <f>Datos!A10</f>
        <v>Sección De Violencia sobre la Mujer del TI</v>
      </c>
      <c r="D10" s="351">
        <f>IF(ISNUMBER((Datos!I10-Datos!S10)/Datos!S10),(Datos!I10-Datos!S10)/Datos!S10," - ")</f>
        <v>8.4745762711864406E-3</v>
      </c>
      <c r="E10" s="347">
        <f>IF(ISNUMBER((Datos!J10-Datos!T10)/Datos!T10),(Datos!J10-Datos!T10)/Datos!T10," - ")</f>
        <v>-0.14285714285714285</v>
      </c>
      <c r="F10" s="347">
        <f>IF(ISNUMBER((Datos!K10-Datos!U10)/Datos!U10),(Datos!K10-Datos!U10)/Datos!U10," - ")</f>
        <v>-0.7021276595744681</v>
      </c>
      <c r="G10" s="348">
        <f>IF(ISNUMBER((Datos!L10-Datos!V10)/Datos!V10),(Datos!L10-Datos!V10)/Datos!V10," - ")</f>
        <v>0.27358490566037735</v>
      </c>
      <c r="H10" s="229">
        <f>IF(ISNUMBER((Datos!M10-Datos!W10)/Datos!W10),(Datos!M10-Datos!W10)/Datos!W10," - ")</f>
        <v>-1</v>
      </c>
      <c r="I10" s="349">
        <f>IF(ISNUMBER((Tasas!C10-Datos!BE10)/Datos!BE10),(Tasas!C10-Datos!BE10)/Datos!BE10," - ")</f>
        <v>3.2756064690026951</v>
      </c>
      <c r="J10" s="348">
        <f>IF(ISNUMBER((Tasas!D10-Datos!BF10)/Datos!BF10),(Tasas!D10-Datos!BF10)/Datos!BF10," - ")</f>
        <v>-1</v>
      </c>
      <c r="K10" s="350">
        <f>IF(ISNUMBER((Tasas!E10-Datos!BG10)/Datos!BG10),(Tasas!E10-Datos!BG10)/Datos!BG10," - ")</f>
        <v>2.2693744164332399</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-0.20964125560538116</v>
      </c>
      <c r="I13" s="356">
        <f>IF(ISNUMBER((Tasas!C13-Datos!BE13)/Datos!BE13),(Tasas!C13-Datos!BE13)/Datos!BE13," - ")</f>
        <v>0.37602933519470588</v>
      </c>
      <c r="J13" s="354">
        <f>IF(ISNUMBER((Tasas!D13-Datos!BF13)/Datos!BF13),(Tasas!D13-Datos!BF13)/Datos!BF13," - ")</f>
        <v>-0.64002020404746762</v>
      </c>
      <c r="K13" s="357">
        <f>IF(ISNUMBER((Tasas!E13-Datos!BG13)/Datos!BG13),(Tasas!E13-Datos!BG13)/Datos!BG13," - ")</f>
        <v>0.27122195213014821</v>
      </c>
      <c r="M13" t="e">
        <f>IF(Monitorios="SI",Datos!CE13,0)</f>
        <v>#REF!</v>
      </c>
      <c r="N13" t="e">
        <f>IF(Monitorios="SI",Datos!CF13,0)</f>
        <v>#REF!</v>
      </c>
      <c r="O13" t="e">
        <f>IF(Monitorios="SI",Datos!CG13,0)</f>
        <v>#REF!</v>
      </c>
      <c r="P13" t="e">
        <f>IF(Monitorios="SI",Datos!CH13,0)</f>
        <v>#REF!</v>
      </c>
      <c r="Q13">
        <f>IF(J_V="SI",0,Datos!AG13)</f>
        <v>188</v>
      </c>
      <c r="R13">
        <f>IF(J_V="SI",0,Datos!AH13)</f>
        <v>310</v>
      </c>
      <c r="S13">
        <f>IF(J_V="SI",0,Datos!AI13)</f>
        <v>284</v>
      </c>
      <c r="T13">
        <f>IF(J_V="SI",0,Datos!AJ13)</f>
        <v>214</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0.19546364242828551</v>
      </c>
      <c r="E15" s="347">
        <f>IF(ISNUMBER(
   IF(D_I="SI",(Datos!J15-Datos!T15)/Datos!T15,(Datos!J15+Datos!AD15-(Datos!T15+Datos!AL15))/(Datos!T15+Datos!AL15))
     ),IF(D_I="SI",(Datos!J15-Datos!T15)/Datos!T15,(Datos!J15+Datos!AD15-(Datos!T15+Datos!AL15))/(Datos!T15+Datos!AL15))," - ")</f>
        <v>9.3947606142728096E-2</v>
      </c>
      <c r="F15" s="347">
        <f>IF(ISNUMBER(
   IF(D_I="SI",(Datos!K15-Datos!U15)/Datos!U15,(Datos!K15+Datos!AE15-(Datos!U15+Datos!AM15))/(Datos!U15+Datos!AM15))
     ),IF(D_I="SI",(Datos!K15-Datos!U15)/Datos!U15,(Datos!K15+Datos!AE15-(Datos!U15+Datos!AM15))/(Datos!U15+Datos!AM15))," - ")</f>
        <v>8.0572963294538946E-2</v>
      </c>
      <c r="G15" s="348">
        <f>IF(ISNUMBER(
   IF(D_I="SI",(Datos!L15-Datos!V15)/Datos!V15,(Datos!L15+Datos!AF15-(Datos!V15+Datos!AN15))/(Datos!V15+Datos!AN15))
     ),IF(D_I="SI",(Datos!L15-Datos!V15)/Datos!V15,(Datos!L15+Datos!AF15-(Datos!V15+Datos!AN15))/(Datos!V15+Datos!AN15))," - ")</f>
        <v>0.18878865979381443</v>
      </c>
      <c r="H15" s="229">
        <f>IF(ISNUMBER((Datos!M15-Datos!W15)/Datos!W15),(Datos!M15-Datos!W15)/Datos!W15," - ")</f>
        <v>9.4405594405594401E-2</v>
      </c>
      <c r="I15" s="349">
        <f>IF(ISNUMBER((Tasas!C15-Datos!BE15)/Datos!BE15),(Tasas!C15-Datos!BE15)/Datos!BE15," - ")</f>
        <v>0.10014658905525338</v>
      </c>
      <c r="J15" s="348">
        <f>IF(ISNUMBER((Tasas!D15-Datos!BF15)/Datos!BF15),(Tasas!D15-Datos!BF15)/Datos!BF15," - ")</f>
        <v>1.2801200456544202E-2</v>
      </c>
      <c r="K15" s="350">
        <f>IF(ISNUMBER((Tasas!E15-Datos!BG15)/Datos!BG15),(Tasas!E15-Datos!BG15)/Datos!BG15," - ")</f>
        <v>5.0305126014399765E-2</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-0.8</v>
      </c>
      <c r="E17" s="347" t="str">
        <f>IF(ISNUMBER(
   IF(D_I="SI",(Datos!J17-Datos!T17)/Datos!T17,(Datos!J17+Datos!AD17-(Datos!T17+Datos!AL17))/(Datos!T17+Datos!AL17))
     ),IF(D_I="SI",(Datos!J17-Datos!T17)/Datos!T17,(Datos!J17+Datos!AD17-(Datos!T17+Datos!AL17))/(Datos!T17+Datos!AL17))," - ")</f>
        <v xml:space="preserve"> - </v>
      </c>
      <c r="F17" s="347">
        <f>IF(ISNUMBER(
   IF(D_I="SI",(Datos!K17-Datos!U17)/Datos!U17,(Datos!K17+Datos!AE17-(Datos!U17+Datos!AM17))/(Datos!U17+Datos!AM17))
     ),IF(D_I="SI",(Datos!K17-Datos!U17)/Datos!U17,(Datos!K17+Datos!AE17-(Datos!U17+Datos!AM17))/(Datos!U17+Datos!AM17))," - ")</f>
        <v>-1</v>
      </c>
      <c r="G17" s="348">
        <f>IF(ISNUMBER(
   IF(D_I="SI",(Datos!L17-Datos!V17)/Datos!V17,(Datos!L17+Datos!AF17-(Datos!V17+Datos!AN17))/(Datos!V17+Datos!AN17))
     ),IF(D_I="SI",(Datos!L17-Datos!V17)/Datos!V17,(Datos!L17+Datos!AF17-(Datos!V17+Datos!AN17))/(Datos!V17+Datos!AN17))," - ")</f>
        <v>-0.75</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1.6371681415929205</v>
      </c>
      <c r="E18" s="347">
        <f>IF(ISNUMBER(
   IF(D_I="SI",(Datos!J18-Datos!T18)/Datos!T18,(Datos!J18+Datos!AD18-(Datos!T18+Datos!AL18))/(Datos!T18+Datos!AL18))
     ),IF(D_I="SI",(Datos!J18-Datos!T18)/Datos!T18,(Datos!J18+Datos!AD18-(Datos!T18+Datos!AL18))/(Datos!T18+Datos!AL18))," - ")</f>
        <v>0.12544802867383512</v>
      </c>
      <c r="F18" s="347">
        <f>IF(ISNUMBER(
   IF(D_I="SI",(Datos!K18-Datos!U18)/Datos!U18,(Datos!K18+Datos!AE18-(Datos!U18+Datos!AM18))/(Datos!U18+Datos!AM18))
     ),IF(D_I="SI",(Datos!K18-Datos!U18)/Datos!U18,(Datos!K18+Datos!AE18-(Datos!U18+Datos!AM18))/(Datos!U18+Datos!AM18))," - ")</f>
        <v>0.1076923076923077</v>
      </c>
      <c r="G18" s="348">
        <f>IF(ISNUMBER(
   IF(D_I="SI",(Datos!L18-Datos!V18)/Datos!V18,(Datos!L18+Datos!AF18-(Datos!V18+Datos!AN18))/(Datos!V18+Datos!AN18))
     ),IF(D_I="SI",(Datos!L18-Datos!V18)/Datos!V18,(Datos!L18+Datos!AF18-(Datos!V18+Datos!AN18))/(Datos!V18+Datos!AN18))," - ")</f>
        <v>1.5597014925373134</v>
      </c>
      <c r="H18" s="229">
        <f>IF(ISNUMBER((Datos!M18-Datos!W18)/Datos!W18),(Datos!M18-Datos!W18)/Datos!W18," - ")</f>
        <v>-0.68181818181818177</v>
      </c>
      <c r="I18" s="349">
        <f>IF(ISNUMBER((Tasas!C18-Datos!BE18)/Datos!BE18),(Tasas!C18-Datos!BE18)/Datos!BE18," - ")</f>
        <v>1.3108416252072972</v>
      </c>
      <c r="J18" s="348">
        <f>IF(ISNUMBER((Tasas!D18-Datos!BF18)/Datos!BF18),(Tasas!D18-Datos!BF18)/Datos!BF18," - ")</f>
        <v>-0.7127525252525253</v>
      </c>
      <c r="K18" s="350">
        <f>IF(ISNUMBER((Tasas!E18-Datos!BG18)/Datos!BG18),(Tasas!E18-Datos!BG18)/Datos!BG18," - ")</f>
        <v>0.40943877551020413</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0.29313543599257885</v>
      </c>
      <c r="E19" s="353">
        <f>IF(ISNUMBER(
   IF(D_I="SI",(Datos!J19-Datos!T19)/Datos!T19,(Datos!J19+Datos!AD19-(Datos!T19+Datos!AL19))/(Datos!T19+Datos!AL19))
     ),IF(D_I="SI",(Datos!J19-Datos!T19)/Datos!T19,(Datos!J19+Datos!AD19-(Datos!T19+Datos!AL19))/(Datos!T19+Datos!AL19))," - ")</f>
        <v>9.7472924187725629E-2</v>
      </c>
      <c r="F19" s="353">
        <f>IF(ISNUMBER(
   IF(D_I="SI",(Datos!K19-Datos!U19)/Datos!U19,(Datos!K19+Datos!AE19-(Datos!U19+Datos!AM19))/(Datos!U19+Datos!AM19))
     ),IF(D_I="SI",(Datos!K19-Datos!U19)/Datos!U19,(Datos!K19+Datos!AE19-(Datos!U19+Datos!AM19))/(Datos!U19+Datos!AM19))," - ")</f>
        <v>8.2965931863727457E-2</v>
      </c>
      <c r="G19" s="354">
        <f>IF(ISNUMBER(
   IF(D_I="SI",(Datos!L19-Datos!V19)/Datos!V19,(Datos!L19+Datos!AF19-(Datos!V19+Datos!AN19))/(Datos!V19+Datos!AN19))
     ),IF(D_I="SI",(Datos!L19-Datos!V19)/Datos!V19,(Datos!L19+Datos!AF19-(Datos!V19+Datos!AN19))/(Datos!V19+Datos!AN19))," - ")</f>
        <v>0.29526627218934909</v>
      </c>
      <c r="H19" s="355">
        <f>IF(ISNUMBER((Datos!M19-Datos!W19)/Datos!W19),(Datos!M19-Datos!W19)/Datos!W19," - ")</f>
        <v>3.896103896103896E-2</v>
      </c>
      <c r="I19" s="356">
        <f>IF(ISNUMBER((Tasas!C19-Datos!BE19)/Datos!BE19),(Tasas!C19-Datos!BE19)/Datos!BE19," - ")</f>
        <v>0.1960360285390178</v>
      </c>
      <c r="J19" s="354">
        <f>IF(ISNUMBER((Tasas!D19-Datos!BF19)/Datos!BF19),(Tasas!D19-Datos!BF19)/Datos!BF19," - ")</f>
        <v>-4.063368164034338E-2</v>
      </c>
      <c r="K19" s="357">
        <f>IF(ISNUMBER((Tasas!E19-Datos!BG19)/Datos!BG19),(Tasas!E19-Datos!BG19)/Datos!BG19," - ")</f>
        <v>8.4477840150847958E-2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-7.4095811019000805E-3</v>
      </c>
      <c r="E20" s="362">
        <f>IF(ISNUMBER(
   IF(J_V="SI",(Datos!J20-Datos!T20)/Datos!T20,(Datos!J20+Datos!Z20-(Datos!T20+Datos!AH20))/(Datos!T20+Datos!AH20))
     ),IF(J_V="SI",(Datos!J20-Datos!T20)/Datos!T20,(Datos!J20+Datos!Z20-(Datos!T20+Datos!AH20))/(Datos!T20+Datos!AH20))," - ")</f>
        <v>5.2518756698821008E-2</v>
      </c>
      <c r="F20" s="362">
        <f>IF(ISNUMBER(
   IF(J_V="SI",(Datos!K20-Datos!U20)/Datos!U20,(Datos!K20+Datos!AA20-(Datos!U20+Datos!AI20))/(Datos!U20+Datos!AI20))
     ),IF(J_V="SI",(Datos!K20-Datos!U20)/Datos!U20,(Datos!K20+Datos!AA20-(Datos!U20+Datos!AI20))/(Datos!U20+Datos!AI20))," - ")</f>
        <v>-0.12117177097203728</v>
      </c>
      <c r="G20" s="363">
        <f>IF(ISNUMBER(
   IF(J_V="SI",(Datos!L20-Datos!V20)/Datos!V20,(Datos!L20+Datos!AB20-(Datos!V20+Datos!AJ20))/(Datos!V20+Datos!AJ20))
     ),IF(J_V="SI",(Datos!L20-Datos!V20)/Datos!V20,(Datos!L20+Datos!AB20-(Datos!V20+Datos!AJ20))/(Datos!V20+Datos!AJ20))," - ")</f>
        <v>7.8697421981004073E-2</v>
      </c>
      <c r="H20" s="364">
        <f>IF(ISNUMBER((Datos!M20-Datos!W20)/Datos!W20),(Datos!M20-Datos!W20)/Datos!W20," - ")</f>
        <v>-0.14583333333333334</v>
      </c>
      <c r="I20" s="361">
        <f>IF(ISNUMBER((Tasas!C20-Datos!BE20)/Datos!BE20),(Tasas!C20-Datos!BE20)/Datos!BE20," - ")</f>
        <v>0.22742691501171813</v>
      </c>
      <c r="J20" s="362">
        <f>IF(ISNUMBER((Tasas!D20-Datos!BF20)/Datos!BF20),(Tasas!D20-Datos!BF20)/Datos!BF20," - ")</f>
        <v>-0.59600770433815109</v>
      </c>
      <c r="K20" s="363">
        <f>IF(ISNUMBER((Tasas!E20-Datos!BG20)/Datos!BG20),(Tasas!E20-Datos!BG20)/Datos!BG20," - ")</f>
        <v>0.14929959010774441</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0.87870437683058911</v>
      </c>
      <c r="E22" s="277">
        <f t="shared" si="1"/>
        <v>0.1250366633908217</v>
      </c>
      <c r="F22" s="277">
        <f t="shared" si="1"/>
        <v>0.526417918047699</v>
      </c>
      <c r="G22" s="278">
        <f t="shared" si="1"/>
        <v>0.82181643432840923</v>
      </c>
      <c r="H22" s="284">
        <f t="shared" si="1"/>
        <v>0.42969532597586318</v>
      </c>
      <c r="I22" s="276">
        <f t="shared" si="1"/>
        <v>1.2248603978877113</v>
      </c>
      <c r="J22" s="277">
        <f t="shared" si="1"/>
        <v>0.40203724974806992</v>
      </c>
      <c r="K22" s="278">
        <f t="shared" si="1"/>
        <v>0.84880848926527563</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KFe+C0dunOV3eMKOsH4sNyNJABCYVuKcRUTpF9Iu88ED9LCIO4yXuJR4keccz2EXAnMbUoBOKjMuVyvHT7wTeg==" saltValue="XTWw4P3YILNLhJtLwAlUN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MADRID</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6</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38.182692307692307</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119</v>
      </c>
      <c r="D10" s="224">
        <f>IF(ISNUMBER(Datos!I10),Datos!I10," - ")</f>
        <v>119</v>
      </c>
      <c r="E10" s="225">
        <f>IF(ISNUMBER(Datos!J10),Datos!J10," - ")</f>
        <v>30</v>
      </c>
      <c r="F10" s="225">
        <f>IF(ISNUMBER(Datos!K10),Datos!K10," - ")</f>
        <v>14</v>
      </c>
      <c r="G10" s="1029" t="str">
        <f>IF(Datos!E10&lt;&gt;"",Datos!E10,Datos!D10)</f>
        <v>37</v>
      </c>
      <c r="H10" s="226">
        <f>IF(ISNUMBER(Datos!L10),Datos!L10," - ")</f>
        <v>135</v>
      </c>
      <c r="I10" s="1039" t="str">
        <f>IF(ISNUMBER(Datos!AS10/Datos!BM10),Datos!AS10/Datos!BM10," - ")</f>
        <v xml:space="preserve"> - </v>
      </c>
      <c r="J10" s="1040">
        <f>IF(ISNUMBER(Datos!BY10/Datos!CN10),Datos!BY10/Datos!CN10," - ")</f>
        <v>0</v>
      </c>
      <c r="K10" s="229">
        <f t="shared" ref="K10:K12" si="1">IF(ISNUMBER((E10-F10)/C10),(E10-F10)/C10," - ")</f>
        <v>0.13445378151260504</v>
      </c>
      <c r="L10" s="1020">
        <f>IF(ISNUMBER(NºAsuntos!I10/NºAsuntos!G10),(NºAsuntos!I10/NºAsuntos!G10)*11," - ")</f>
        <v>106.07142857142857</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119</v>
      </c>
      <c r="D13" s="1044">
        <f>SUBTOTAL(9,D9:D12)</f>
        <v>119</v>
      </c>
      <c r="E13" s="1045">
        <f>SUBTOTAL(9,E9:E12)</f>
        <v>30</v>
      </c>
      <c r="F13" s="1046">
        <f>SUBTOTAL(9,F9:F12)</f>
        <v>14</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4</v>
      </c>
      <c r="B15" s="501" t="str">
        <f>Datos!A15</f>
        <v xml:space="preserve">Seccion Instruccion Del T.I.                   </v>
      </c>
      <c r="C15" s="224">
        <f t="shared" ref="C15:C18" si="2">IF(ISNUMBER(H15-E15+F15),H15-E15+F15," - ")</f>
        <v>1837</v>
      </c>
      <c r="D15" s="224">
        <f>IF(ISNUMBER(IF(D_I="SI",Datos!I15,Datos!I15+Datos!AC15)),IF(D_I="SI",Datos!I15,Datos!I15+Datos!AC15)," - ")</f>
        <v>1792</v>
      </c>
      <c r="E15" s="225">
        <f>IF(ISNUMBER(IF(D_I="SI",Datos!J15,Datos!J15+Datos!AD15)),IF(D_I="SI",Datos!J15,Datos!J15+Datos!AD15)," - ")</f>
        <v>2422</v>
      </c>
      <c r="F15" s="225">
        <f>IF(ISNUMBER(IF(D_I="SI",Datos!K15,Datos!K15+Datos!AE15)),IF(D_I="SI",Datos!K15,Datos!K15+Datos!AE15)," - ")</f>
        <v>2414</v>
      </c>
      <c r="G15" s="1029" t="str">
        <f>IF(Datos!E15&lt;&gt;"",Datos!E15,Datos!D15)</f>
        <v>03</v>
      </c>
      <c r="H15" s="226">
        <f>IF(ISNUMBER(IF(D_I="SI",Datos!L15,Datos!L15+Datos!AF15)),IF(D_I="SI",Datos!L15,Datos!L15+Datos!AF15)," - ")</f>
        <v>1845</v>
      </c>
      <c r="I15" s="1039" t="str">
        <f>IF(ISNUMBER(Datos!AS15/Datos!BM15),Datos!AS15/Datos!BM15," - ")</f>
        <v xml:space="preserve"> - </v>
      </c>
      <c r="J15" s="1040">
        <f>IF(ISNUMBER(Datos!BY15/Datos!CN15),Datos!BY15/Datos!CN15," - ")</f>
        <v>0</v>
      </c>
      <c r="K15" s="229">
        <f t="shared" ref="K15:K18" si="3">IF(ISNUMBER((E15-F15)/C15),(E15-F15)/C15," - ")</f>
        <v>4.3549265106151338E-3</v>
      </c>
      <c r="L15" s="1020">
        <f>IF(ISNUMBER(NºAsuntos!I15/NºAsuntos!G15),(NºAsuntos!I15/NºAsuntos!G15)*11," - ")</f>
        <v>8.4072079536039777</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f t="shared" si="2"/>
        <v>1</v>
      </c>
      <c r="D17" s="224">
        <f>IF(ISNUMBER(IF(D_I="SI",Datos!I17,Datos!I17+Datos!AC17)),IF(D_I="SI",Datos!I17,Datos!I17+Datos!AC17)," - ")</f>
        <v>1</v>
      </c>
      <c r="E17" s="225">
        <f>IF(ISNUMBER(IF(D_I="SI",Datos!J17,Datos!J17+Datos!AD17)),IF(D_I="SI",Datos!J17,Datos!J17+Datos!AD17)," - ")</f>
        <v>0</v>
      </c>
      <c r="F17" s="225">
        <f>IF(ISNUMBER(IF(D_I="SI",Datos!K17,Datos!K17+Datos!AE17)),IF(D_I="SI",Datos!K17,Datos!K17+Datos!AE17)," - ")</f>
        <v>0</v>
      </c>
      <c r="G17" s="1029" t="str">
        <f>IF(Datos!E17&lt;&gt;"",Datos!E17,Datos!D17)</f>
        <v>04</v>
      </c>
      <c r="H17" s="226">
        <f>IF(ISNUMBER(IF(D_I="SI",Datos!L17,Datos!L17+Datos!AF17)),IF(D_I="SI",Datos!L17,Datos!L17+Datos!AF17)," - ")</f>
        <v>1</v>
      </c>
      <c r="I17" s="1039" t="str">
        <f>IF(ISNUMBER(Datos!AS17/Datos!BM17),Datos!AS17/Datos!BM17," - ")</f>
        <v xml:space="preserve"> - </v>
      </c>
      <c r="J17" s="1040">
        <f>IF(ISNUMBER(Datos!BY17/Datos!CN17),Datos!BY17/Datos!CN17," - ")</f>
        <v>0</v>
      </c>
      <c r="K17" s="229">
        <f t="shared" si="3"/>
        <v>0</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317</v>
      </c>
      <c r="D18" s="224">
        <f>IF(ISNUMBER(IF(D_I="SI",Datos!I18,Datos!I18+Datos!AC18)),IF(D_I="SI",Datos!I18,Datos!I18+Datos!AC18)," - ")</f>
        <v>298</v>
      </c>
      <c r="E18" s="225">
        <f>IF(ISNUMBER(IF(D_I="SI",Datos!J18,Datos!J18+Datos!AD18)),IF(D_I="SI",Datos!J18,Datos!J18+Datos!AD18)," - ")</f>
        <v>314</v>
      </c>
      <c r="F18" s="225">
        <f>IF(ISNUMBER(IF(D_I="SI",Datos!K18,Datos!K18+Datos!AE18)),IF(D_I="SI",Datos!K18,Datos!K18+Datos!AE18)," - ")</f>
        <v>288</v>
      </c>
      <c r="G18" s="1029" t="str">
        <f>IF(Datos!E18&lt;&gt;"",Datos!E18,Datos!D18)</f>
        <v>37</v>
      </c>
      <c r="H18" s="226">
        <f>IF(ISNUMBER(IF(D_I="SI",Datos!L18,Datos!L18+Datos!AF18)),IF(D_I="SI",Datos!L18,Datos!L18+Datos!AF18)," - ")</f>
        <v>343</v>
      </c>
      <c r="I18" s="1039" t="str">
        <f>IF(ISNUMBER(Datos!AS18/Datos!BM18),Datos!AS18/Datos!BM18," - ")</f>
        <v xml:space="preserve"> - </v>
      </c>
      <c r="J18" s="1040" t="str">
        <f>IF(ISNUMBER((Datos!BY18+Datos!BZ18)/Datos!CN18),(Datos!BY18+Datos!BZ18)/Datos!CN18," - ")</f>
        <v xml:space="preserve"> - </v>
      </c>
      <c r="K18" s="229">
        <f t="shared" si="3"/>
        <v>8.2018927444794956E-2</v>
      </c>
      <c r="L18" s="1020">
        <f>IF(ISNUMBER(NºAsuntos!I18/NºAsuntos!G18),(NºAsuntos!I18/NºAsuntos!G18)*11," - ")</f>
        <v>13.100694444444446</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2155</v>
      </c>
      <c r="D19" s="1044">
        <f>SUBTOTAL(9,D15:D18)</f>
        <v>2091</v>
      </c>
      <c r="E19" s="1045">
        <f>SUBTOTAL(9,E15:E18)</f>
        <v>2736</v>
      </c>
      <c r="F19" s="1045">
        <f>SUBTOTAL(9,F15:F18)</f>
        <v>2702</v>
      </c>
      <c r="G19" s="1047" t="str">
        <f ca="1">INDIRECT(CONCATENATE("G",ROW()-1))</f>
        <v>37</v>
      </c>
      <c r="H19" s="1048">
        <f ca="1">SUMIF(G$14:G18,G19,H$14:H18)</f>
        <v>343</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2274</v>
      </c>
      <c r="D20" s="1066">
        <f>SUBTOTAL(9,D9:D19)</f>
        <v>2210</v>
      </c>
      <c r="E20" s="1067">
        <f>SUBTOTAL(9,E9:E19)</f>
        <v>2766</v>
      </c>
      <c r="F20" s="1067">
        <f>SUBTOTAL(9,F9:F19)</f>
        <v>2716</v>
      </c>
      <c r="G20" s="1068"/>
      <c r="H20" s="1069">
        <f ca="1">SUMIF(B9:B19,"TOTAL",H9:H19)</f>
        <v>343</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meE1s5MH9syd0TqdpUnBexBZJH446dZiEATg1ldYZp1/6VdTTpPRsR1YejoL/VLd9qrMonMfB6aa/ZUUfYJOHA==" saltValue="GbqjwIMpNG1WGDQegaR0X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Jt+fzgImoxAeb6uOmqLQiFjb9XFiFhR2qERTkzeBCTwHYXIHIifQlAW49B8Y/JO1K3pSBuUdjFJYAqtByQaKQ==" saltValue="90pnbuzqr4MMMxYWpPS8Q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11162</v>
      </c>
      <c r="J9" s="180">
        <v>2860</v>
      </c>
      <c r="K9" s="180">
        <v>2931</v>
      </c>
      <c r="L9" s="180">
        <v>11060</v>
      </c>
      <c r="M9" s="180">
        <v>705</v>
      </c>
      <c r="N9" s="180">
        <v>1837</v>
      </c>
      <c r="O9" s="180">
        <v>846</v>
      </c>
      <c r="P9" s="180">
        <v>560</v>
      </c>
      <c r="Q9" s="180">
        <v>434</v>
      </c>
      <c r="R9" s="180">
        <v>10975</v>
      </c>
      <c r="S9" s="180">
        <v>11708</v>
      </c>
      <c r="T9" s="180">
        <v>2760</v>
      </c>
      <c r="U9" s="180">
        <v>3933</v>
      </c>
      <c r="V9" s="180">
        <v>10519</v>
      </c>
      <c r="W9" s="180">
        <v>869</v>
      </c>
      <c r="X9" s="187">
        <v>2556</v>
      </c>
      <c r="Y9" s="190">
        <v>158</v>
      </c>
      <c r="Z9" s="180">
        <v>266</v>
      </c>
      <c r="AA9" s="180">
        <v>293</v>
      </c>
      <c r="AB9" s="180">
        <v>131</v>
      </c>
      <c r="AC9" s="180">
        <v>0</v>
      </c>
      <c r="AD9" s="180">
        <v>0</v>
      </c>
      <c r="AE9" s="180">
        <v>0</v>
      </c>
      <c r="AF9" s="187">
        <v>0</v>
      </c>
      <c r="AG9" s="190">
        <v>188</v>
      </c>
      <c r="AH9" s="180">
        <v>310</v>
      </c>
      <c r="AI9" s="180">
        <v>284</v>
      </c>
      <c r="AJ9" s="191">
        <v>214</v>
      </c>
      <c r="AK9" s="179">
        <v>0</v>
      </c>
      <c r="AL9" s="180">
        <v>0</v>
      </c>
      <c r="AM9" s="180">
        <v>0</v>
      </c>
      <c r="AN9" s="187">
        <v>0</v>
      </c>
      <c r="AO9" s="257">
        <v>6</v>
      </c>
      <c r="AP9" s="153">
        <v>6</v>
      </c>
      <c r="AQ9" s="153">
        <v>6</v>
      </c>
      <c r="AR9" s="192">
        <v>6</v>
      </c>
      <c r="AS9" s="337" t="s">
        <v>763</v>
      </c>
      <c r="AT9" s="194"/>
      <c r="AU9" s="193"/>
      <c r="AV9" s="194"/>
      <c r="AW9" s="193"/>
      <c r="AX9" s="194"/>
      <c r="AY9" s="123">
        <f>IF(ISNUMBER(IF(J_V="SI",S9,S9+AG9)),IF(J_V="SI",S9,S9+AG9)," - ")</f>
        <v>11896</v>
      </c>
      <c r="AZ9" s="123">
        <f>IF(ISNUMBER(IF(J_V="SI",T9,T9+AH9)),IF(J_V="SI",T9,T9+AH9)," - ")</f>
        <v>3070</v>
      </c>
      <c r="BA9" s="124">
        <f>IF(ISNUMBER(IF(J_V="SI",U9,U9+AI9)),IF(J_V="SI",U9,U9+AI9)," - ")</f>
        <v>4217</v>
      </c>
      <c r="BB9" s="124">
        <f>IF(ISNUMBER(IF(J_V="SI",V9,V9+AJ9)),IF(J_V="SI",V9,V9+AJ9)," - ")</f>
        <v>10733</v>
      </c>
      <c r="BC9" s="125">
        <f>IF(ISNUMBER(X9),X9," - ")</f>
        <v>2556</v>
      </c>
      <c r="BD9" s="126">
        <f>IF(ISNUMBER(BA9/AZ9),BA9/AZ9," - ")</f>
        <v>1.3736156351791531</v>
      </c>
      <c r="BE9" s="127">
        <f>IF(ISNUMBER(BB9/BA9),BB9/BA9, " - ")</f>
        <v>2.5451742945221723</v>
      </c>
      <c r="BF9" s="127">
        <f>IF(ISNUMBER(BC9/BA9),BC9/BA9, " - ")</f>
        <v>0.60611809343134926</v>
      </c>
      <c r="BG9" s="195">
        <f>IF(ISNUMBER((AY9+AZ9)/BA9),(AY9+AZ9)/BA9," - ")</f>
        <v>3.548968460991226</v>
      </c>
      <c r="BH9" s="153">
        <v>6</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119</v>
      </c>
      <c r="J10" s="180">
        <v>30</v>
      </c>
      <c r="K10" s="180">
        <v>14</v>
      </c>
      <c r="L10" s="180">
        <v>135</v>
      </c>
      <c r="M10" s="180">
        <v>0</v>
      </c>
      <c r="N10" s="180">
        <v>13</v>
      </c>
      <c r="O10" s="180">
        <v>2</v>
      </c>
      <c r="P10" s="180">
        <v>5</v>
      </c>
      <c r="Q10" s="180">
        <v>2</v>
      </c>
      <c r="R10" s="180">
        <v>73</v>
      </c>
      <c r="S10" s="180">
        <v>118</v>
      </c>
      <c r="T10" s="180">
        <v>35</v>
      </c>
      <c r="U10" s="180">
        <v>47</v>
      </c>
      <c r="V10" s="180">
        <v>106</v>
      </c>
      <c r="W10" s="180">
        <v>23</v>
      </c>
      <c r="X10" s="187">
        <v>21</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1</v>
      </c>
      <c r="AQ10" s="153">
        <v>1</v>
      </c>
      <c r="AR10" s="154">
        <v>1</v>
      </c>
      <c r="AS10" s="338" t="s">
        <v>757</v>
      </c>
      <c r="AT10" s="191"/>
      <c r="AU10" s="199"/>
      <c r="AV10" s="191"/>
      <c r="AW10" s="199"/>
      <c r="AX10" s="191"/>
      <c r="AY10" s="128">
        <f t="shared" ref="AY10:BC10" si="0">IF(ISNUMBER(S10),S10," - ")</f>
        <v>118</v>
      </c>
      <c r="AZ10" s="129">
        <f t="shared" si="0"/>
        <v>35</v>
      </c>
      <c r="BA10" s="129">
        <f t="shared" si="0"/>
        <v>47</v>
      </c>
      <c r="BB10" s="129">
        <f t="shared" si="0"/>
        <v>106</v>
      </c>
      <c r="BC10" s="125">
        <f t="shared" si="0"/>
        <v>23</v>
      </c>
      <c r="BD10" s="126">
        <f>IF(ISNUMBER(BA10/AZ10),BA10/AZ10," - ")</f>
        <v>1.3428571428571427</v>
      </c>
      <c r="BE10" s="127">
        <f>IF(ISNUMBER(BB10/BA10),BB10/BA10, " - ")</f>
        <v>2.2553191489361701</v>
      </c>
      <c r="BF10" s="127">
        <f>IF(ISNUMBER(BC10/BA10),BC10/BA10, " - ")</f>
        <v>0.48936170212765956</v>
      </c>
      <c r="BG10" s="195">
        <f>IF(ISNUMBER((AY10+AZ10)/BA10),(AY10+AZ10)/BA10," - ")</f>
        <v>3.2553191489361701</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11281</v>
      </c>
      <c r="J13" s="183">
        <f t="shared" si="6"/>
        <v>2890</v>
      </c>
      <c r="K13" s="183">
        <f t="shared" si="6"/>
        <v>2945</v>
      </c>
      <c r="L13" s="183">
        <f t="shared" si="6"/>
        <v>11195</v>
      </c>
      <c r="M13" s="183">
        <f t="shared" si="6"/>
        <v>705</v>
      </c>
      <c r="N13" s="183">
        <f t="shared" si="6"/>
        <v>1850</v>
      </c>
      <c r="O13" s="183">
        <f t="shared" si="6"/>
        <v>848</v>
      </c>
      <c r="P13" s="183">
        <f t="shared" si="6"/>
        <v>565</v>
      </c>
      <c r="Q13" s="183">
        <f t="shared" si="6"/>
        <v>436</v>
      </c>
      <c r="R13" s="183">
        <f t="shared" si="6"/>
        <v>11048</v>
      </c>
      <c r="S13" s="183">
        <f t="shared" si="6"/>
        <v>11826</v>
      </c>
      <c r="T13" s="183">
        <f t="shared" si="6"/>
        <v>2795</v>
      </c>
      <c r="U13" s="183">
        <f t="shared" si="6"/>
        <v>3980</v>
      </c>
      <c r="V13" s="183">
        <f t="shared" si="6"/>
        <v>10625</v>
      </c>
      <c r="W13" s="183">
        <f t="shared" si="6"/>
        <v>892</v>
      </c>
      <c r="X13" s="183">
        <f t="shared" si="6"/>
        <v>2577</v>
      </c>
      <c r="Y13" s="183">
        <f t="shared" si="6"/>
        <v>158</v>
      </c>
      <c r="Z13" s="183">
        <f t="shared" si="6"/>
        <v>266</v>
      </c>
      <c r="AA13" s="183">
        <f t="shared" si="6"/>
        <v>293</v>
      </c>
      <c r="AB13" s="183">
        <f t="shared" si="6"/>
        <v>131</v>
      </c>
      <c r="AC13" s="183">
        <f t="shared" si="6"/>
        <v>0</v>
      </c>
      <c r="AD13" s="183">
        <f t="shared" si="6"/>
        <v>0</v>
      </c>
      <c r="AE13" s="183">
        <f t="shared" si="6"/>
        <v>0</v>
      </c>
      <c r="AF13" s="183">
        <f>SUBTOTAL(9,AF9:AF12)</f>
        <v>0</v>
      </c>
      <c r="AG13" s="183">
        <f t="shared" ref="AG13:AT13" si="7">SUBTOTAL(9,AG8:AG12)</f>
        <v>188</v>
      </c>
      <c r="AH13" s="183">
        <f t="shared" si="7"/>
        <v>310</v>
      </c>
      <c r="AI13" s="183">
        <f t="shared" si="7"/>
        <v>284</v>
      </c>
      <c r="AJ13" s="183">
        <f t="shared" si="7"/>
        <v>214</v>
      </c>
      <c r="AK13" s="183">
        <f t="shared" si="7"/>
        <v>0</v>
      </c>
      <c r="AL13" s="183">
        <f t="shared" si="7"/>
        <v>0</v>
      </c>
      <c r="AM13" s="183">
        <f t="shared" si="7"/>
        <v>0</v>
      </c>
      <c r="AN13" s="183">
        <f t="shared" si="7"/>
        <v>0</v>
      </c>
      <c r="AO13" s="183">
        <f t="shared" si="7"/>
        <v>7</v>
      </c>
      <c r="AP13" s="183">
        <f t="shared" si="7"/>
        <v>7</v>
      </c>
      <c r="AQ13" s="183">
        <f t="shared" si="7"/>
        <v>7</v>
      </c>
      <c r="AR13" s="183">
        <f t="shared" si="7"/>
        <v>7</v>
      </c>
      <c r="AS13" s="183">
        <f t="shared" si="7"/>
        <v>0</v>
      </c>
      <c r="AT13" s="183">
        <f t="shared" si="7"/>
        <v>0</v>
      </c>
      <c r="AU13" s="203"/>
      <c r="AV13" s="132"/>
      <c r="AW13" s="203"/>
      <c r="AX13" s="132"/>
      <c r="AY13" s="183">
        <f>SUBTOTAL(9,AY8:AY12)</f>
        <v>12014</v>
      </c>
      <c r="AZ13" s="183">
        <f>SUBTOTAL(9,AZ8:AZ12)</f>
        <v>3105</v>
      </c>
      <c r="BA13" s="183">
        <f>SUBTOTAL(9,BA8:BA12)</f>
        <v>4264</v>
      </c>
      <c r="BB13" s="183">
        <f>SUBTOTAL(9,BB8:BB12)</f>
        <v>10839</v>
      </c>
      <c r="BC13" s="183">
        <f>SUBTOTAL(9,BC8:BC12)</f>
        <v>2579</v>
      </c>
      <c r="BD13" s="204">
        <f>IF(ISNUMBER(BA13/AZ13),BA13/AZ13," - ")</f>
        <v>1.373268921095008</v>
      </c>
      <c r="BE13" s="205">
        <f>IF(ISNUMBER(BB13/BA13),BB13/BA13, " - ")</f>
        <v>2.5419793621013134</v>
      </c>
      <c r="BF13" s="205">
        <f>IF(ISNUMBER(BC13/BA13),BC13/BA13, " - ")</f>
        <v>0.60483114446529085</v>
      </c>
      <c r="BG13" s="206">
        <f>IF(ISNUMBER((AY13+AZ13)/BA13),(AY13+AZ13)/BA13," - ")</f>
        <v>3.5457317073170733</v>
      </c>
      <c r="BH13" s="139">
        <f>SUBTOTAL(9,BH8:BH12)</f>
        <v>7</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1792</v>
      </c>
      <c r="J15" s="182">
        <v>2422</v>
      </c>
      <c r="K15" s="182">
        <v>2414</v>
      </c>
      <c r="L15" s="182">
        <v>1845</v>
      </c>
      <c r="M15" s="182">
        <v>313</v>
      </c>
      <c r="N15" s="182">
        <v>1422</v>
      </c>
      <c r="O15" s="180">
        <v>89</v>
      </c>
      <c r="P15" s="182">
        <v>99</v>
      </c>
      <c r="Q15" s="182">
        <v>106</v>
      </c>
      <c r="R15" s="182">
        <v>310</v>
      </c>
      <c r="S15" s="182">
        <v>1499</v>
      </c>
      <c r="T15" s="182">
        <v>2214</v>
      </c>
      <c r="U15" s="182">
        <v>2234</v>
      </c>
      <c r="V15" s="182">
        <v>1552</v>
      </c>
      <c r="W15" s="182">
        <v>286</v>
      </c>
      <c r="X15" s="188">
        <v>1346</v>
      </c>
      <c r="Y15" s="201">
        <v>0</v>
      </c>
      <c r="Z15" s="182">
        <v>0</v>
      </c>
      <c r="AA15" s="182">
        <v>0</v>
      </c>
      <c r="AB15" s="182">
        <v>0</v>
      </c>
      <c r="AC15" s="182">
        <v>2</v>
      </c>
      <c r="AD15" s="182">
        <v>84</v>
      </c>
      <c r="AE15" s="182">
        <v>83</v>
      </c>
      <c r="AF15" s="188">
        <v>3</v>
      </c>
      <c r="AG15" s="201">
        <v>0</v>
      </c>
      <c r="AH15" s="182">
        <v>0</v>
      </c>
      <c r="AI15" s="182">
        <v>0</v>
      </c>
      <c r="AJ15" s="202">
        <v>0</v>
      </c>
      <c r="AK15" s="181">
        <v>7</v>
      </c>
      <c r="AL15" s="182">
        <v>78</v>
      </c>
      <c r="AM15" s="182">
        <v>78</v>
      </c>
      <c r="AN15" s="188">
        <v>7</v>
      </c>
      <c r="AO15" s="258">
        <v>4</v>
      </c>
      <c r="AP15" s="154">
        <v>4</v>
      </c>
      <c r="AQ15" s="154">
        <v>4</v>
      </c>
      <c r="AR15" s="154">
        <v>4</v>
      </c>
      <c r="AS15" s="339" t="s">
        <v>520</v>
      </c>
      <c r="AT15" s="202" t="s">
        <v>327</v>
      </c>
      <c r="AU15" s="201"/>
      <c r="AV15" s="202"/>
      <c r="AW15" s="201"/>
      <c r="AX15" s="202"/>
      <c r="AY15" s="128">
        <f t="shared" ref="AY15:BB17" si="9">IF(ISNUMBER(IF(D_I="SI",S15,S15+AK15)),IF(D_I="SI",S15,S15+AK15)," - ")</f>
        <v>1499</v>
      </c>
      <c r="AZ15" s="129">
        <f t="shared" si="9"/>
        <v>2214</v>
      </c>
      <c r="BA15" s="129">
        <f t="shared" si="9"/>
        <v>2234</v>
      </c>
      <c r="BB15" s="129">
        <f t="shared" si="9"/>
        <v>1552</v>
      </c>
      <c r="BC15" s="125">
        <f>IF(ISNUMBER(W15),W15," - ")</f>
        <v>286</v>
      </c>
      <c r="BD15" s="126">
        <f>IF(ISNUMBER(BA15/AZ15),BA15/AZ15," - ")</f>
        <v>1.00903342366757</v>
      </c>
      <c r="BE15" s="127">
        <f>IF(ISNUMBER(BB15/BA15),BB15/BA15, " - ")</f>
        <v>0.69471799462846906</v>
      </c>
      <c r="BF15" s="127">
        <f>IF(ISNUMBER(BC15/BA15),BC15/BA15, " - ")</f>
        <v>0.12802148612354522</v>
      </c>
      <c r="BG15" s="195">
        <f t="shared" ref="BG15:BG17" si="10">IF(ISNUMBER((AY15+AZ15)/BA15),(AY15+AZ15)/BA15," - ")</f>
        <v>1.662041181736795</v>
      </c>
      <c r="BH15" s="154">
        <v>4</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v>
      </c>
      <c r="J17" s="182">
        <v>0</v>
      </c>
      <c r="K17" s="182">
        <v>0</v>
      </c>
      <c r="L17" s="182">
        <v>1</v>
      </c>
      <c r="M17" s="182">
        <v>0</v>
      </c>
      <c r="N17" s="182">
        <v>0</v>
      </c>
      <c r="O17" s="180">
        <v>0</v>
      </c>
      <c r="P17" s="182">
        <v>0</v>
      </c>
      <c r="Q17" s="182">
        <v>0</v>
      </c>
      <c r="R17" s="182">
        <v>0</v>
      </c>
      <c r="S17" s="182">
        <v>5</v>
      </c>
      <c r="T17" s="182">
        <v>0</v>
      </c>
      <c r="U17" s="182">
        <v>1</v>
      </c>
      <c r="V17" s="182">
        <v>4</v>
      </c>
      <c r="W17" s="182">
        <v>0</v>
      </c>
      <c r="X17" s="188">
        <v>1</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0</v>
      </c>
      <c r="AP17" s="154">
        <v>0</v>
      </c>
      <c r="AQ17" s="154">
        <v>0</v>
      </c>
      <c r="AR17" s="154">
        <v>0</v>
      </c>
      <c r="AS17" s="339" t="s">
        <v>486</v>
      </c>
      <c r="AT17" s="202"/>
      <c r="AU17" s="201"/>
      <c r="AV17" s="202"/>
      <c r="AW17" s="201"/>
      <c r="AX17" s="202"/>
      <c r="AY17" s="126">
        <f t="shared" si="9"/>
        <v>5</v>
      </c>
      <c r="AZ17" s="127">
        <f t="shared" si="9"/>
        <v>0</v>
      </c>
      <c r="BA17" s="127">
        <f t="shared" si="9"/>
        <v>1</v>
      </c>
      <c r="BB17" s="127">
        <f t="shared" si="9"/>
        <v>4</v>
      </c>
      <c r="BC17" s="125">
        <f>IF(ISNUMBER(W17),W17," - ")</f>
        <v>0</v>
      </c>
      <c r="BD17" s="126" t="str">
        <f t="shared" ref="BD17" si="16">IF(ISNUMBER(BA17/AZ17),BA17/AZ17," - ")</f>
        <v xml:space="preserve"> - </v>
      </c>
      <c r="BE17" s="127">
        <f t="shared" ref="BE17" si="17">IF(ISNUMBER(BB17/BA17),BB17/BA17, " - ")</f>
        <v>4</v>
      </c>
      <c r="BF17" s="127">
        <f t="shared" ref="BF17" si="18">IF(ISNUMBER(BC17/BA17),BC17/BA17, " - ")</f>
        <v>0</v>
      </c>
      <c r="BG17" s="195">
        <f t="shared" si="10"/>
        <v>5</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298</v>
      </c>
      <c r="J18" s="182">
        <v>314</v>
      </c>
      <c r="K18" s="182">
        <v>288</v>
      </c>
      <c r="L18" s="182">
        <v>343</v>
      </c>
      <c r="M18" s="182">
        <v>7</v>
      </c>
      <c r="N18" s="182">
        <v>213</v>
      </c>
      <c r="O18" s="182">
        <v>0</v>
      </c>
      <c r="P18" s="182">
        <v>0</v>
      </c>
      <c r="Q18" s="182">
        <v>4</v>
      </c>
      <c r="R18" s="182">
        <v>5</v>
      </c>
      <c r="S18" s="182">
        <v>113</v>
      </c>
      <c r="T18" s="182">
        <v>279</v>
      </c>
      <c r="U18" s="182">
        <v>260</v>
      </c>
      <c r="V18" s="182">
        <v>134</v>
      </c>
      <c r="W18" s="182">
        <v>22</v>
      </c>
      <c r="X18" s="188">
        <v>145</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1</v>
      </c>
      <c r="AQ18" s="153">
        <v>1</v>
      </c>
      <c r="AR18" s="154">
        <v>1</v>
      </c>
      <c r="AS18" s="338" t="s">
        <v>879</v>
      </c>
      <c r="AT18" s="208"/>
      <c r="AU18" s="199"/>
      <c r="AV18" s="208"/>
      <c r="AW18" s="199"/>
      <c r="AX18" s="208"/>
      <c r="AY18" s="128">
        <f t="shared" ref="AY18:BB18" si="19">IF(ISNUMBER(S18),S18," - ")</f>
        <v>113</v>
      </c>
      <c r="AZ18" s="129">
        <f t="shared" si="19"/>
        <v>279</v>
      </c>
      <c r="BA18" s="129">
        <f t="shared" si="19"/>
        <v>260</v>
      </c>
      <c r="BB18" s="129">
        <f t="shared" si="19"/>
        <v>134</v>
      </c>
      <c r="BC18" s="125">
        <f>IF(ISNUMBER(W18),W18," - ")</f>
        <v>22</v>
      </c>
      <c r="BD18" s="126">
        <f>IF(ISNUMBER(BA18/AZ18),BA18/AZ18," - ")</f>
        <v>0.93189964157706096</v>
      </c>
      <c r="BE18" s="127">
        <f>IF(ISNUMBER(BB18/BA18),BB18/BA18, " - ")</f>
        <v>0.51538461538461533</v>
      </c>
      <c r="BF18" s="127">
        <f>IF(ISNUMBER(BC18/BA18),BC18/BA18, " - ")</f>
        <v>8.461538461538462E-2</v>
      </c>
      <c r="BG18" s="195">
        <f>IF(ISNUMBER((AY18+AZ18)/BA18),(AY18+AZ18)/BA18," - ")</f>
        <v>1.5076923076923077</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2091</v>
      </c>
      <c r="J19" s="183">
        <f t="shared" si="20"/>
        <v>2736</v>
      </c>
      <c r="K19" s="183">
        <f t="shared" si="20"/>
        <v>2702</v>
      </c>
      <c r="L19" s="183">
        <f t="shared" si="20"/>
        <v>2189</v>
      </c>
      <c r="M19" s="183">
        <f t="shared" si="20"/>
        <v>320</v>
      </c>
      <c r="N19" s="183">
        <f t="shared" si="20"/>
        <v>1635</v>
      </c>
      <c r="O19" s="183">
        <f t="shared" si="20"/>
        <v>89</v>
      </c>
      <c r="P19" s="183">
        <f t="shared" si="20"/>
        <v>99</v>
      </c>
      <c r="Q19" s="183">
        <f t="shared" si="20"/>
        <v>110</v>
      </c>
      <c r="R19" s="183">
        <f t="shared" si="20"/>
        <v>315</v>
      </c>
      <c r="S19" s="183">
        <f t="shared" si="20"/>
        <v>1617</v>
      </c>
      <c r="T19" s="183">
        <f t="shared" si="20"/>
        <v>2493</v>
      </c>
      <c r="U19" s="183">
        <f t="shared" si="20"/>
        <v>2495</v>
      </c>
      <c r="V19" s="183">
        <f t="shared" si="20"/>
        <v>1690</v>
      </c>
      <c r="W19" s="183">
        <f t="shared" si="20"/>
        <v>308</v>
      </c>
      <c r="X19" s="183">
        <f t="shared" si="20"/>
        <v>1492</v>
      </c>
      <c r="Y19" s="183">
        <f t="shared" si="20"/>
        <v>0</v>
      </c>
      <c r="Z19" s="183">
        <f t="shared" si="20"/>
        <v>0</v>
      </c>
      <c r="AA19" s="183">
        <f t="shared" si="20"/>
        <v>0</v>
      </c>
      <c r="AB19" s="183">
        <f t="shared" si="20"/>
        <v>0</v>
      </c>
      <c r="AC19" s="183">
        <f t="shared" si="20"/>
        <v>2</v>
      </c>
      <c r="AD19" s="183">
        <f t="shared" si="20"/>
        <v>84</v>
      </c>
      <c r="AE19" s="183">
        <f t="shared" si="20"/>
        <v>83</v>
      </c>
      <c r="AF19" s="183">
        <f t="shared" si="20"/>
        <v>3</v>
      </c>
      <c r="AG19" s="183">
        <f t="shared" si="20"/>
        <v>0</v>
      </c>
      <c r="AH19" s="183">
        <f t="shared" si="20"/>
        <v>0</v>
      </c>
      <c r="AI19" s="183">
        <f t="shared" si="20"/>
        <v>0</v>
      </c>
      <c r="AJ19" s="183">
        <f t="shared" si="20"/>
        <v>0</v>
      </c>
      <c r="AK19" s="183">
        <f t="shared" si="20"/>
        <v>7</v>
      </c>
      <c r="AL19" s="183">
        <f t="shared" si="20"/>
        <v>78</v>
      </c>
      <c r="AM19" s="183">
        <f t="shared" si="20"/>
        <v>78</v>
      </c>
      <c r="AN19" s="183">
        <f t="shared" si="20"/>
        <v>7</v>
      </c>
      <c r="AO19" s="183">
        <f t="shared" si="20"/>
        <v>5</v>
      </c>
      <c r="AP19" s="183">
        <f t="shared" si="20"/>
        <v>5</v>
      </c>
      <c r="AQ19" s="183">
        <f t="shared" si="20"/>
        <v>5</v>
      </c>
      <c r="AR19" s="183">
        <f t="shared" si="20"/>
        <v>5</v>
      </c>
      <c r="AS19" s="183">
        <f t="shared" si="20"/>
        <v>0</v>
      </c>
      <c r="AT19" s="183">
        <f t="shared" si="20"/>
        <v>0</v>
      </c>
      <c r="AU19" s="203"/>
      <c r="AV19" s="132"/>
      <c r="AW19" s="203"/>
      <c r="AX19" s="132"/>
      <c r="AY19" s="183">
        <f>SUBTOTAL(9,AY14:AY18)</f>
        <v>1617</v>
      </c>
      <c r="AZ19" s="183">
        <f>SUBTOTAL(9,AZ14:AZ18)</f>
        <v>2493</v>
      </c>
      <c r="BA19" s="183">
        <f>SUBTOTAL(9,BA14:BA18)</f>
        <v>2495</v>
      </c>
      <c r="BB19" s="183">
        <f>SUBTOTAL(9,BB14:BB18)</f>
        <v>1690</v>
      </c>
      <c r="BC19" s="183">
        <f>SUBTOTAL(9,BC14:BC18)</f>
        <v>308</v>
      </c>
      <c r="BD19" s="204">
        <f>IF(ISNUMBER(BA19/AZ19),BA19/AZ19," - ")</f>
        <v>1.0008022462896109</v>
      </c>
      <c r="BE19" s="205">
        <f>IF(ISNUMBER(BB19/BA19),BB19/BA19, " - ")</f>
        <v>0.67735470941883769</v>
      </c>
      <c r="BF19" s="205">
        <f>IF(ISNUMBER(BC19/BA19),BC19/BA19, " - ")</f>
        <v>0.12344689378757515</v>
      </c>
      <c r="BG19" s="206">
        <f>IF(ISNUMBER((AY19+AZ19)/BA19),(AY19+AZ19)/BA19," - ")</f>
        <v>1.6472945891783568</v>
      </c>
      <c r="BH19" s="183">
        <f>SUBTOTAL(9,BH14:BH18)</f>
        <v>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13372</v>
      </c>
      <c r="J20" s="134">
        <f t="shared" si="23"/>
        <v>5626</v>
      </c>
      <c r="K20" s="134">
        <f t="shared" si="23"/>
        <v>5647</v>
      </c>
      <c r="L20" s="134">
        <f t="shared" si="23"/>
        <v>13384</v>
      </c>
      <c r="M20" s="134">
        <f t="shared" si="23"/>
        <v>1025</v>
      </c>
      <c r="N20" s="134">
        <f t="shared" si="23"/>
        <v>3485</v>
      </c>
      <c r="O20" s="134">
        <f t="shared" si="23"/>
        <v>937</v>
      </c>
      <c r="P20" s="134">
        <f t="shared" si="23"/>
        <v>664</v>
      </c>
      <c r="Q20" s="134">
        <f t="shared" si="23"/>
        <v>546</v>
      </c>
      <c r="R20" s="134">
        <f t="shared" si="23"/>
        <v>11363</v>
      </c>
      <c r="S20" s="134">
        <f t="shared" si="23"/>
        <v>13443</v>
      </c>
      <c r="T20" s="134">
        <f t="shared" si="23"/>
        <v>5288</v>
      </c>
      <c r="U20" s="134">
        <f t="shared" si="23"/>
        <v>6475</v>
      </c>
      <c r="V20" s="134">
        <f t="shared" si="23"/>
        <v>12315</v>
      </c>
      <c r="W20" s="134">
        <f t="shared" si="23"/>
        <v>1200</v>
      </c>
      <c r="X20" s="134">
        <f t="shared" si="23"/>
        <v>4069</v>
      </c>
      <c r="Y20" s="134">
        <f t="shared" si="23"/>
        <v>158</v>
      </c>
      <c r="Z20" s="134">
        <f t="shared" si="23"/>
        <v>266</v>
      </c>
      <c r="AA20" s="134">
        <f t="shared" si="23"/>
        <v>293</v>
      </c>
      <c r="AB20" s="134">
        <f t="shared" si="23"/>
        <v>131</v>
      </c>
      <c r="AC20" s="134">
        <f t="shared" si="23"/>
        <v>2</v>
      </c>
      <c r="AD20" s="134">
        <f t="shared" si="23"/>
        <v>84</v>
      </c>
      <c r="AE20" s="134">
        <f t="shared" si="23"/>
        <v>83</v>
      </c>
      <c r="AF20" s="134">
        <f t="shared" si="23"/>
        <v>3</v>
      </c>
      <c r="AG20" s="134">
        <f t="shared" si="23"/>
        <v>188</v>
      </c>
      <c r="AH20" s="134">
        <f t="shared" si="23"/>
        <v>310</v>
      </c>
      <c r="AI20" s="134">
        <f t="shared" si="23"/>
        <v>284</v>
      </c>
      <c r="AJ20" s="134">
        <f t="shared" si="23"/>
        <v>214</v>
      </c>
      <c r="AK20" s="134">
        <f t="shared" si="23"/>
        <v>7</v>
      </c>
      <c r="AL20" s="134">
        <f t="shared" si="23"/>
        <v>78</v>
      </c>
      <c r="AM20" s="134">
        <f t="shared" si="23"/>
        <v>78</v>
      </c>
      <c r="AN20" s="209">
        <f t="shared" si="23"/>
        <v>7</v>
      </c>
      <c r="AO20" s="210">
        <v>11</v>
      </c>
      <c r="AP20" s="210">
        <v>11</v>
      </c>
      <c r="AQ20" s="210">
        <v>11</v>
      </c>
      <c r="AR20" s="210">
        <v>11</v>
      </c>
      <c r="AS20" s="152">
        <f t="shared" si="23"/>
        <v>0</v>
      </c>
      <c r="AT20" s="152">
        <f t="shared" si="23"/>
        <v>0</v>
      </c>
      <c r="AU20" s="210"/>
      <c r="AV20" s="211"/>
      <c r="AW20" s="210"/>
      <c r="AX20" s="211"/>
      <c r="AY20" s="133">
        <f>SUBTOTAL(9,AY9:AY19)</f>
        <v>13631</v>
      </c>
      <c r="AZ20" s="134">
        <f>SUBTOTAL(9,AZ9:AZ19)</f>
        <v>5598</v>
      </c>
      <c r="BA20" s="134">
        <f>SUBTOTAL(9,BA9:BA19)</f>
        <v>6759</v>
      </c>
      <c r="BB20" s="134">
        <f>SUBTOTAL(9,BB9:BB19)</f>
        <v>12529</v>
      </c>
      <c r="BC20" s="135">
        <f>SUBTOTAL(9,BC9:BC19)</f>
        <v>2887</v>
      </c>
      <c r="BD20" s="212">
        <f>IF(ISNUMBER(BA20/AZ20),BA20/AZ20," - ")</f>
        <v>1.207395498392283</v>
      </c>
      <c r="BE20" s="209">
        <f>IF(ISNUMBER(BB20/BA20),BB20/BA20, " - ")</f>
        <v>1.8536765793756473</v>
      </c>
      <c r="BF20" s="209">
        <f>IF(ISNUMBER(BC20/BA20),BC20/BA20, " - ")</f>
        <v>0.42713419144843912</v>
      </c>
      <c r="BG20" s="135">
        <f>IF(ISNUMBER((AY20+AZ20)/BA20),(AY20+AZ20)/BA20," - ")</f>
        <v>2.8449474774374908</v>
      </c>
      <c r="BH20" s="210">
        <f>SUBTOTAL(9,BH9:BH19)</f>
        <v>12</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py3TgglIzYF2t8Bm7pCn2LSMgzxeFIeqYbe5xUBQ1VB0IHUsUJnDLQNg9XLxFKM0v3+bpqjvm6OWUerhzonb1A==" saltValue="FdbUnEUhHFaFmcgXSs4Y9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iGd5UfarYi9msZXjwR4BTwOVUUST8lBtRlWlLxmH5ZcyLC31FNAuqHyP1df6rEUrsaQlY3i8oinxvazbX7oxwQ==" saltValue="ko+irLJk8Tm6+AVkKthxy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MADRID</v>
      </c>
    </row>
    <row r="2" spans="1:78" ht="16.5" customHeight="1">
      <c r="C2" s="487" t="str">
        <f>Criterios!A10 &amp;"  "&amp;Criterios!B10 &amp; "  " &amp; IF(NOT(ISBLANK(Criterios!A11)),Criterios!A11 &amp;"  "&amp;Criterios!B11,"")</f>
        <v>Provincias  MADRID  Resumenes por Partidos Judiciales  TORREJON DE ARDOZ</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6</v>
      </c>
      <c r="B9" s="500" t="s">
        <v>247</v>
      </c>
      <c r="C9" s="159" t="str">
        <f>Datos!A9</f>
        <v>Sección Civil del T.I</v>
      </c>
      <c r="D9" s="501"/>
      <c r="E9" s="259">
        <f>IF(ISNUMBER(Datos!AQ9),Datos!AQ9," - ")</f>
        <v>6</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266</v>
      </c>
      <c r="O9" s="333"/>
      <c r="P9" s="333"/>
      <c r="Q9" s="225">
        <f>IF(ISNUMBER(Datos!P9),Datos!P9,0)</f>
        <v>560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434</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131</v>
      </c>
      <c r="AI9" s="333" t="str">
        <f>IF(ISNUMBER(Datos!CD9),Datos!CD9,"-")</f>
        <v>-</v>
      </c>
      <c r="AJ9" s="333" t="str">
        <f>IF(ISNUMBER(Datos!EN9),Datos!EN9," - ")</f>
        <v xml:space="preserve"> - </v>
      </c>
      <c r="AK9" s="333"/>
      <c r="AL9" s="478"/>
      <c r="AM9" s="334">
        <f>IF(ISNUMBER(Datos!R9),Datos!R9," - ")</f>
        <v>10975</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705</v>
      </c>
      <c r="BD9" s="228">
        <f>IF(ISNUMBER(Datos!N9),Datos!N9," - ")</f>
        <v>1837</v>
      </c>
      <c r="BE9" s="228" t="str">
        <f>IF(ISNUMBER(Datos!BW9),Datos!BW9," - ")</f>
        <v xml:space="preserve"> - </v>
      </c>
      <c r="BF9" s="227" t="str">
        <f>IF(ISNUMBER(Datos!BX9),Datos!BX9," - ")</f>
        <v xml:space="preserve"> - </v>
      </c>
      <c r="BG9" s="242">
        <f>IF(ISNUMBER(IF(J_V="SI",Datos!K9/Datos!J9,(Datos!K9+Datos!AA9)/(Datos!J9+Datos!Z9))),IF(J_V="SI",Datos!K9/Datos!J9,(Datos!K9+Datos!AA9)/(Datos!J9+Datos!Z9))," - ")</f>
        <v>1.0313499680102367</v>
      </c>
      <c r="BH9" s="259">
        <f>IF(ISNUMBER(((IF(J_V="SI",Datos!L9/Datos!K9,(Datos!L9+Datos!AB9)/(Datos!K9+Datos!AA9)))*11)/factor_trimestre),((IF(J_V="SI",Datos!L9/Datos!K9,(Datos!L9+Datos!AB9)/(Datos!K9+Datos!AA9)))*11)/factor_trimestre," - ")</f>
        <v>10.413461538461538</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1.161397363812333E-2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1</v>
      </c>
      <c r="F10" s="224">
        <f>IF(ISNUMBER(Datos!L10+Datos!K10-Datos!J10),Datos!L10+Datos!K10-Datos!J10," - ")</f>
        <v>119</v>
      </c>
      <c r="G10" s="332">
        <f>IF(ISNUMBER(Datos!I10),Datos!I10," - ")</f>
        <v>119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5</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14</v>
      </c>
      <c r="AC10" s="225">
        <f>IF(ISNUMBER(Datos!Q10),Datos!Q10," - ")</f>
        <v>2</v>
      </c>
      <c r="AD10" s="333"/>
      <c r="AE10" s="483"/>
      <c r="AF10" s="331">
        <f>IF(ISNUMBER(Datos!L10),Datos!L10,"-")</f>
        <v>135</v>
      </c>
      <c r="AG10" s="333"/>
      <c r="AH10" s="333"/>
      <c r="AI10" s="333"/>
      <c r="AJ10" s="333"/>
      <c r="AK10" s="333"/>
      <c r="AL10" s="478"/>
      <c r="AM10" s="334">
        <f>IF(ISNUMBER(Datos!R10),Datos!R10," - ")</f>
        <v>73</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13</v>
      </c>
      <c r="BE10" s="228" t="str">
        <f>IF(ISNUMBER(Datos!BW10),Datos!BW10," - ")</f>
        <v xml:space="preserve"> - </v>
      </c>
      <c r="BF10" s="227" t="str">
        <f>IF(ISNUMBER(Datos!BX10),Datos!BX10," - ")</f>
        <v xml:space="preserve"> - </v>
      </c>
      <c r="BG10" s="242">
        <f>IF(ISNUMBER(Datos!K10/Datos!J10),Datos!K10/Datos!J10," - ")</f>
        <v>0.46666666666666667</v>
      </c>
      <c r="BH10" s="259">
        <f>IF(ISNUMBER(((Datos!L10/Datos!K10)*11)/factor_trimestre),((Datos!L10/Datos!K10)*11)/factor_trimestre," - ")</f>
        <v>28.928571428571431</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4.2857142857142858E-2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7</v>
      </c>
      <c r="F13" s="895">
        <f t="shared" si="0"/>
        <v>119</v>
      </c>
      <c r="G13" s="895">
        <f t="shared" si="0"/>
        <v>119</v>
      </c>
      <c r="H13" s="896">
        <f t="shared" si="0"/>
        <v>0</v>
      </c>
      <c r="I13" s="895">
        <f t="shared" si="0"/>
        <v>0</v>
      </c>
      <c r="J13" s="864">
        <f t="shared" si="0"/>
        <v>0</v>
      </c>
      <c r="K13" s="864">
        <f t="shared" si="0"/>
        <v>0</v>
      </c>
      <c r="L13" s="896">
        <f t="shared" si="0"/>
        <v>0</v>
      </c>
      <c r="M13" s="896">
        <f t="shared" si="0"/>
        <v>0</v>
      </c>
      <c r="N13" s="896">
        <f t="shared" si="0"/>
        <v>266</v>
      </c>
      <c r="O13" s="897">
        <f t="shared" si="0"/>
        <v>0</v>
      </c>
      <c r="P13" s="897">
        <f t="shared" si="0"/>
        <v>0</v>
      </c>
      <c r="Q13" s="896">
        <f t="shared" si="0"/>
        <v>565</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14</v>
      </c>
      <c r="AC13" s="896">
        <f t="shared" si="1"/>
        <v>436</v>
      </c>
      <c r="AD13" s="896">
        <f t="shared" si="1"/>
        <v>0</v>
      </c>
      <c r="AE13" s="896">
        <f t="shared" si="1"/>
        <v>0</v>
      </c>
      <c r="AF13" s="896">
        <f t="shared" si="1"/>
        <v>135</v>
      </c>
      <c r="AG13" s="896">
        <f t="shared" si="1"/>
        <v>0</v>
      </c>
      <c r="AH13" s="896">
        <f t="shared" si="1"/>
        <v>131</v>
      </c>
      <c r="AI13" s="896">
        <f t="shared" si="1"/>
        <v>0</v>
      </c>
      <c r="AJ13" s="896">
        <f t="shared" si="1"/>
        <v>0</v>
      </c>
      <c r="AK13" s="896">
        <f t="shared" si="1"/>
        <v>0</v>
      </c>
      <c r="AL13" s="896">
        <f t="shared" si="1"/>
        <v>0</v>
      </c>
      <c r="AM13" s="896">
        <f t="shared" si="1"/>
        <v>11048</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705</v>
      </c>
      <c r="BD13" s="896">
        <f t="shared" si="1"/>
        <v>1850</v>
      </c>
      <c r="BE13" s="896">
        <f t="shared" si="1"/>
        <v>0</v>
      </c>
      <c r="BF13" s="896">
        <f t="shared" si="1"/>
        <v>0</v>
      </c>
      <c r="BG13" s="896">
        <f>IF(ISNUMBER(Datos!K13/Datos!J13),Datos!K13/Datos!J13," - ")</f>
        <v>1.0190311418685121</v>
      </c>
      <c r="BH13" s="900">
        <f>IF(ISNUMBER(((Datos!L13/Datos!K13)*11)/factor_trimestre),((Datos!L13/Datos!K13)*11)/factor_trimestre," - ")</f>
        <v>11.404074702886248</v>
      </c>
      <c r="BI13" s="896">
        <f>IF(ISNUMBER('Resol  Asuntos'!D13/NºAsuntos!G13),'Resol  Asuntos'!D13/NºAsuntos!G13," - ")</f>
        <v>0.21772699197035206</v>
      </c>
      <c r="BJ13" s="896" t="str">
        <f>IF(ISNUMBER(Datos!CI13/Datos!CJ13),Datos!CI13/Datos!CJ13," - ")</f>
        <v xml:space="preserve"> - </v>
      </c>
      <c r="BK13" s="896">
        <f>SUBTOTAL(9,BK8:BK12)</f>
        <v>0</v>
      </c>
      <c r="BL13" s="896">
        <f>IF(ISNUMBER((I13-AB13+L13)/(F13)),(I13-AB13+L13)/(F13)," - ")</f>
        <v>-0.11764705882352941</v>
      </c>
      <c r="BM13" s="901">
        <f>SUBTOTAL(9,BM9:BM12)</f>
        <v>5.4471116495266189E-2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4</v>
      </c>
      <c r="B15" s="593" t="s">
        <v>397</v>
      </c>
      <c r="C15" s="598" t="str">
        <f>Datos!A15</f>
        <v xml:space="preserve">Seccion Instruccion Del T.I.                   </v>
      </c>
      <c r="D15" s="599"/>
      <c r="E15" s="1160">
        <f>IF(ISNUMBER(Datos!AQ15),Datos!AQ15," - ")</f>
        <v>4</v>
      </c>
      <c r="F15" s="594">
        <f>IF(ISNUMBER(AF15+AB15-Datos!J15-L15),AF15+AB15-Datos!J15-L15," - ")</f>
        <v>1837</v>
      </c>
      <c r="G15" s="596">
        <f>IF(ISNUMBER(IF(D_I="SI",Datos!I15,Datos!I15+Datos!AC15)),IF(D_I="SI",Datos!I15,Datos!I15+Datos!AC15)," - ")</f>
        <v>1792</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99</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2414</v>
      </c>
      <c r="AC15" s="225">
        <f>IF(ISNUMBER(Datos!Q15),Datos!Q15," - ")</f>
        <v>106</v>
      </c>
      <c r="AD15" s="333"/>
      <c r="AE15" s="483"/>
      <c r="AF15" s="1192">
        <f>IF(ISNUMBER(IF(D_I="SI",Datos!L15,Datos!L15+Datos!AF15)),IF(D_I="SI",Datos!L15,Datos!L15+Datos!AF15)," - ")</f>
        <v>1845</v>
      </c>
      <c r="AG15" s="333"/>
      <c r="AH15" s="333"/>
      <c r="AI15" s="333"/>
      <c r="AJ15" s="333"/>
      <c r="AK15" s="333"/>
      <c r="AL15" s="478"/>
      <c r="AM15" s="334">
        <f>IF(ISNUMBER(Datos!R15),Datos!R15," - ")</f>
        <v>310</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313</v>
      </c>
      <c r="BD15" s="228">
        <f>IF(ISNUMBER(Datos!N15),Datos!N15," - ")</f>
        <v>1422</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0.9966969446738233</v>
      </c>
      <c r="BH15" s="259">
        <f>IF(ISNUMBER(((IF(D_I="SI",Datos!L15/Datos!K15,(Datos!L15+Datos!AF15)/(Datos!K15+Datos!AE15)))*11)/factor_trimestre),((IF(D_I="SI",Datos!L15/Datos!K15,(Datos!L15+Datos!AF15)/(Datos!K15+Datos!AE15)))*11)/factor_trimestre," - ")</f>
        <v>2.2928748964374486</v>
      </c>
      <c r="BI15" s="242">
        <f>IF(ISNUMBER('Resol  Asuntos'!D15/NºAsuntos!G15),'Resol  Asuntos'!D15/NºAsuntos!G15," - ")</f>
        <v>0.12966031483015741</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f>IF(ISNUMBER(AF17+AB17-Datos!J17-L17),AF17+AB17-Datos!J17-L17," - ")</f>
        <v>1</v>
      </c>
      <c r="G17" s="596">
        <f>IF(ISNUMBER(IF(D_I="SI",Datos!I17,Datos!I17+Datos!AC17)),IF(D_I="SI",Datos!I17,Datos!I17+Datos!AC17)," - ")</f>
        <v>1</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0</v>
      </c>
      <c r="AC17" s="225">
        <f>IF(ISNUMBER(Datos!Q17),Datos!Q17," - ")</f>
        <v>0</v>
      </c>
      <c r="AD17" s="333"/>
      <c r="AE17" s="483"/>
      <c r="AF17" s="1192">
        <f>IF(ISNUMBER(IF(D_I="SI",Datos!L17,Datos!L17+Datos!AF17)),IF(D_I="SI",Datos!L17,Datos!L17+Datos!AF17)," - ")</f>
        <v>1</v>
      </c>
      <c r="AG17" s="333"/>
      <c r="AH17" s="333"/>
      <c r="AI17" s="333"/>
      <c r="AJ17" s="333"/>
      <c r="AK17" s="333"/>
      <c r="AL17" s="478"/>
      <c r="AM17" s="334">
        <f>IF(ISNUMBER(Datos!R17),Datos!R17," - ")</f>
        <v>0</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0</v>
      </c>
      <c r="BD17" s="228">
        <f>IF(ISNUMBER(Datos!N17),Datos!N17," - ")</f>
        <v>0</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298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288</v>
      </c>
      <c r="AC18" s="225">
        <f>IF(ISNUMBER(Datos!Q18),Datos!Q18," - ")</f>
        <v>4</v>
      </c>
      <c r="AD18" s="333"/>
      <c r="AE18" s="483"/>
      <c r="AF18" s="331">
        <f>IF(ISNUMBER(Datos!L18),Datos!L18,"-")</f>
        <v>343</v>
      </c>
      <c r="AG18" s="333"/>
      <c r="AH18" s="333"/>
      <c r="AI18" s="333"/>
      <c r="AJ18" s="333"/>
      <c r="AK18" s="333"/>
      <c r="AL18" s="478"/>
      <c r="AM18" s="334">
        <f>IF(ISNUMBER(Datos!R18),Datos!R18," - ")</f>
        <v>5</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7</v>
      </c>
      <c r="BD18" s="228">
        <f>IF(ISNUMBER(Datos!N18),Datos!N18," - ")</f>
        <v>213</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0.91719745222929938</v>
      </c>
      <c r="BH18" s="259">
        <f>IF(ISNUMBER(((IF(D_I="SI",Datos!L18/Datos!K18,(Datos!L18+Datos!AF18)/(Datos!K18+Datos!AE18)))*11)/factor_trimestre),((IF(D_I="SI",Datos!L18/Datos!K18,(Datos!L18+Datos!AF18)/(Datos!K18+Datos!AE18)))*11)/factor_trimestre," - ")</f>
        <v>3.5729166666666674</v>
      </c>
      <c r="BI18" s="242">
        <f>IF(ISNUMBER('Resol  Asuntos'!D18/NºAsuntos!G18),'Resol  Asuntos'!D18/NºAsuntos!G18," - ")</f>
        <v>2.4305555555555556E-2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5</v>
      </c>
      <c r="F19" s="895">
        <f>SUBTOTAL(9,F15:F18)</f>
        <v>1838</v>
      </c>
      <c r="G19" s="895">
        <f>SUBTOTAL(9,G15:G18)</f>
        <v>2091</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99</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2702</v>
      </c>
      <c r="AC19" s="896">
        <f t="shared" si="4"/>
        <v>110</v>
      </c>
      <c r="AD19" s="896">
        <f t="shared" si="4"/>
        <v>0</v>
      </c>
      <c r="AE19" s="896">
        <f t="shared" si="4"/>
        <v>0</v>
      </c>
      <c r="AF19" s="896">
        <f t="shared" si="4"/>
        <v>2189</v>
      </c>
      <c r="AG19" s="896">
        <f t="shared" si="4"/>
        <v>0</v>
      </c>
      <c r="AH19" s="896">
        <f t="shared" si="4"/>
        <v>0</v>
      </c>
      <c r="AI19" s="896">
        <f t="shared" si="4"/>
        <v>0</v>
      </c>
      <c r="AJ19" s="896">
        <f t="shared" si="4"/>
        <v>0</v>
      </c>
      <c r="AK19" s="896">
        <f t="shared" si="4"/>
        <v>0</v>
      </c>
      <c r="AL19" s="896">
        <f t="shared" si="4"/>
        <v>0</v>
      </c>
      <c r="AM19" s="896">
        <f t="shared" si="4"/>
        <v>315</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320</v>
      </c>
      <c r="BD19" s="896">
        <f t="shared" si="4"/>
        <v>1635</v>
      </c>
      <c r="BE19" s="896">
        <f t="shared" si="4"/>
        <v>0</v>
      </c>
      <c r="BF19" s="896">
        <f t="shared" si="4"/>
        <v>0</v>
      </c>
      <c r="BG19" s="896">
        <f>IF(ISNUMBER(Datos!K19/Datos!J19),Datos!K19/Datos!J19," - ")</f>
        <v>0.98757309941520466</v>
      </c>
      <c r="BH19" s="900">
        <f>IF(ISNUMBER(((Datos!L19/Datos!K19)*11)/factor_trimestre),((Datos!L19/Datos!K19)*11)/factor_trimestre," - ")</f>
        <v>2.4304219096965212</v>
      </c>
      <c r="BI19" s="896">
        <f>SUBTOTAL(9,BI15:BI18)</f>
        <v>0.15396587038571297</v>
      </c>
      <c r="BJ19" s="896">
        <f>SUBTOTAL(9,BJ15:BJ18)</f>
        <v>0</v>
      </c>
      <c r="BK19" s="896">
        <f>SUBTOTAL(9,BK15:BK18)</f>
        <v>0</v>
      </c>
      <c r="BL19" s="896">
        <f>IF(ISNUMBER((I19-AB19+L19)/(F19)),(I19-AB19+L19)/(F19)," - ")</f>
        <v>-1.470076169749728</v>
      </c>
      <c r="BM19" s="902">
        <f>IF(ISNUMBER((Datos!P19-Datos!Q19)/(Datos!R19-Datos!P19+Datos!Q19)),(Datos!P19-Datos!Q19)/(Datos!R19-Datos!P19+Datos!Q19)," - ")</f>
        <v>-3.3742331288343558E-2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12</v>
      </c>
      <c r="F20" s="817">
        <f t="shared" si="6"/>
        <v>1957</v>
      </c>
      <c r="G20" s="817">
        <f t="shared" si="6"/>
        <v>2210</v>
      </c>
      <c r="H20" s="819">
        <f t="shared" si="6"/>
        <v>0</v>
      </c>
      <c r="I20" s="817">
        <f t="shared" si="6"/>
        <v>0</v>
      </c>
      <c r="J20" s="819">
        <f t="shared" si="6"/>
        <v>0</v>
      </c>
      <c r="K20" s="819">
        <f t="shared" si="6"/>
        <v>0</v>
      </c>
      <c r="L20" s="878">
        <f t="shared" si="6"/>
        <v>0</v>
      </c>
      <c r="M20" s="878">
        <f t="shared" si="6"/>
        <v>0</v>
      </c>
      <c r="N20" s="878">
        <f t="shared" si="6"/>
        <v>266</v>
      </c>
      <c r="O20" s="878">
        <f t="shared" si="6"/>
        <v>0</v>
      </c>
      <c r="P20" s="878">
        <f t="shared" si="6"/>
        <v>0</v>
      </c>
      <c r="Q20" s="819">
        <f t="shared" si="6"/>
        <v>664</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2716</v>
      </c>
      <c r="AC20" s="818">
        <f t="shared" si="7"/>
        <v>546</v>
      </c>
      <c r="AD20" s="818">
        <f t="shared" si="7"/>
        <v>0</v>
      </c>
      <c r="AE20" s="818">
        <f t="shared" si="7"/>
        <v>0</v>
      </c>
      <c r="AF20" s="825">
        <f t="shared" si="7"/>
        <v>2324</v>
      </c>
      <c r="AG20" s="825">
        <f t="shared" si="7"/>
        <v>0</v>
      </c>
      <c r="AH20" s="825">
        <f t="shared" si="7"/>
        <v>131</v>
      </c>
      <c r="AI20" s="825">
        <f t="shared" si="7"/>
        <v>0</v>
      </c>
      <c r="AJ20" s="818">
        <f t="shared" si="7"/>
        <v>0</v>
      </c>
      <c r="AK20" s="825">
        <f t="shared" si="7"/>
        <v>0</v>
      </c>
      <c r="AL20" s="825">
        <f t="shared" si="7"/>
        <v>0</v>
      </c>
      <c r="AM20" s="825">
        <f t="shared" si="7"/>
        <v>11363</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1025</v>
      </c>
      <c r="BD20" s="817">
        <f t="shared" si="7"/>
        <v>3485</v>
      </c>
      <c r="BE20" s="817">
        <f t="shared" si="7"/>
        <v>0</v>
      </c>
      <c r="BF20" s="827">
        <f t="shared" si="7"/>
        <v>0</v>
      </c>
      <c r="BG20" s="912">
        <f>IF(ISNUMBER(Datos!K20/Datos!J20),Datos!K20/Datos!J20," - ")</f>
        <v>1.0037326697476003</v>
      </c>
      <c r="BH20" s="912">
        <f>IF(ISNUMBER(((Datos!L20/Datos!K20)*11)/factor_trimestre),((Datos!L20/Datos!K20)*11)/factor_trimestre," - ")</f>
        <v>7.1103240658756874</v>
      </c>
      <c r="BI20" s="810">
        <f>IF(ISNUMBER(Datos!J20/Datos!I20),Datos!J20/Datos!I20," - ")</f>
        <v>0.4207298833383189</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-1.3878385283597343</v>
      </c>
      <c r="BM20" s="886">
        <f>IF(ISNUMBER((Datos!P20-Datos!Q20+R20)/(Datos!R20-Datos!P20+Datos!Q20-R20)),(Datos!P20-Datos!Q20+R20)/(Datos!R20-Datos!P20+Datos!Q20-R20)," - ")</f>
        <v>1.0493552690084482E-2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736.66666666666663</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2.7968235951204043</v>
      </c>
      <c r="F22" s="550">
        <f>IF(ISNUMBER(STDEV(F8:F19)),STDEV(F8:F19),"-")</f>
        <v>964.00943978780617</v>
      </c>
      <c r="G22" s="551">
        <f>IF(ISNUMBER(STDEV(G8:G19)),STDEV(G8:G19),"-")</f>
        <v>942.82610627128201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1287.9258777843804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314.67201367531271</v>
      </c>
      <c r="BD22" s="550"/>
      <c r="BE22" s="550">
        <f>IF(ISNUMBER(STDEV(BE8:BE19)),STDEV(BE8:BE19),"-")</f>
        <v>0</v>
      </c>
      <c r="BF22" s="555">
        <f>IF(ISNUMBER(STDEV(BF8:BF19)),STDEV(BF8:BF19),"-")</f>
        <v>0</v>
      </c>
      <c r="BG22" s="772">
        <f>IF(ISNUMBER(STDEV(BG8:BG19)),STDEV(BG8:BG19),"-")</f>
        <v>0.21746584464416641</v>
      </c>
      <c r="BH22" s="773">
        <f>IF(ISNUMBER(STDEV(BH8:BH19)),STDEV(BH8:BH19),"-")</f>
        <v>10.181218241547523</v>
      </c>
      <c r="BI22" s="248">
        <f>IF(ISNUMBER(STDEV(BI8:BI19)),STDEV(BI8:BI19),"-")</f>
        <v>8.048563789456406E-2</v>
      </c>
      <c r="BJ22" s="229" t="str">
        <f>IF(ISNUMBER(BL22/BM22),BL22/BM22," - ")</f>
        <v xml:space="preserve"> - </v>
      </c>
      <c r="BK22" s="574"/>
      <c r="BL22" s="558">
        <f>IF(ISNUMBER(STDEV(BL8:BL19)),STDEV(BL8:BL19),"-")</f>
        <v>0.95631179541000855</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SELIRc7tcROsSDjzSWrnyvgHxOr+dudJhHnx0f4zygpNDJC0fcp2Q9TfEymsYB02i5ZvoJQ1emAFFK5imxTqwQ==" saltValue="NBKv+Vr7Rih+VlHhbw8Dy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MADRID</v>
      </c>
    </row>
    <row r="2" spans="1:78" ht="16.5" customHeight="1">
      <c r="C2" s="527" t="str">
        <f>Criterios!A10 &amp;"  "&amp;Criterios!B10 &amp; "  " &amp; IF(NOT(ISBLANK(Criterios!A11)),Criterios!A11 &amp;"  "&amp;Criterios!B11,"")</f>
        <v>Provincias  MADRID  Resumenes por Partidos Judiciales  TORREJON DE ARDOZ</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6</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560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434</v>
      </c>
      <c r="AA9" s="331" t="str">
        <f>IF(ISNUMBER(IF(J_V="SI",Datos!L9,Datos!L9+Datos!AB9)-IF(Monitorios="SI",Datos!CD9,0)),
                          IF(J_V="SI",Datos!L9,Datos!L9+Datos!AB9)-IF(Monitorios="SI",Datos!CD9,0),
                          " - ")</f>
        <v xml:space="preserve"> - </v>
      </c>
      <c r="AB9" s="333"/>
      <c r="AC9" s="333"/>
      <c r="AD9" s="483"/>
      <c r="AE9" s="483">
        <f>IF(ISNUMBER(Datos!R9),Datos!R9," - ")</f>
        <v>10975</v>
      </c>
      <c r="AF9" s="228" t="str">
        <f>IF(ISNUMBER(Datos!BV9),Datos!BV9," - ")</f>
        <v xml:space="preserve"> - </v>
      </c>
      <c r="AG9" s="224" t="str">
        <f>IF(ISNUMBER(Datos!DV9),Datos!DV9," - ")</f>
        <v xml:space="preserve"> - </v>
      </c>
      <c r="AH9" s="297"/>
      <c r="AI9" s="226"/>
      <c r="AJ9" s="224">
        <f>IF(ISNUMBER(Datos!M9),Datos!M9," - ")</f>
        <v>705</v>
      </c>
      <c r="AK9" s="228">
        <f>IF(ISNUMBER(Datos!N9),Datos!N9," - ")</f>
        <v>1837</v>
      </c>
      <c r="AL9" s="228" t="str">
        <f>IF(ISNUMBER(Datos!BW9),Datos!BW9," - ")</f>
        <v xml:space="preserve"> - </v>
      </c>
      <c r="AM9" s="227" t="str">
        <f>IF(ISNUMBER(Datos!BX9),Datos!BX9," - ")</f>
        <v xml:space="preserve"> - </v>
      </c>
      <c r="AN9" s="242"/>
      <c r="AO9" s="259">
        <f>IF(ISNUMBER(((NºAsuntos!I9/NºAsuntos!G9)*11)/factor_trimestre),((NºAsuntos!I9/NºAsuntos!G9)*11)/factor_trimestre," - ")</f>
        <v>10.413461538461538</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1.161397363812333E-2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1</v>
      </c>
      <c r="F10" s="224">
        <f>IF(ISNUMBER(Datos!L10+Datos!K10-Datos!J10),Datos!L10+Datos!K10-Datos!J10," - ")</f>
        <v>119</v>
      </c>
      <c r="G10" s="224">
        <f>IF(ISNUMBER(Datos!I10),Datos!I10," - ")</f>
        <v>119</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5</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14</v>
      </c>
      <c r="Z10" s="617">
        <f>IF(ISNUMBER(Datos!Q10),Datos!Q10," - ")</f>
        <v>2</v>
      </c>
      <c r="AA10" s="331">
        <f>IF(ISNUMBER(Datos!L10),Datos!L10,"-")</f>
        <v>135</v>
      </c>
      <c r="AB10" s="333"/>
      <c r="AC10" s="333"/>
      <c r="AD10" s="483"/>
      <c r="AE10" s="483">
        <f>IF(ISNUMBER(Datos!R10),Datos!R10," - ")</f>
        <v>73</v>
      </c>
      <c r="AF10" s="228" t="str">
        <f>IF(ISNUMBER(Datos!BV10),Datos!BV10," - ")</f>
        <v xml:space="preserve"> - </v>
      </c>
      <c r="AG10" s="224" t="str">
        <f>IF(ISNUMBER(Datos!DV10),Datos!DV10," - ")</f>
        <v xml:space="preserve"> - </v>
      </c>
      <c r="AH10" s="297"/>
      <c r="AI10" s="226"/>
      <c r="AJ10" s="224">
        <f>IF(ISNUMBER(Datos!M10),Datos!M10," - ")</f>
        <v>0</v>
      </c>
      <c r="AK10" s="228">
        <f>IF(ISNUMBER(Datos!N10),Datos!N10," - ")</f>
        <v>13</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28.928571428571431</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4.2857142857142858E-2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7</v>
      </c>
      <c r="F13" s="895">
        <f>SUBTOTAL(9,F8:F12)</f>
        <v>119</v>
      </c>
      <c r="G13" s="895">
        <f>SUBTOTAL(9,G8:G12)</f>
        <v>119</v>
      </c>
      <c r="H13" s="905"/>
      <c r="I13" s="895">
        <f t="shared" ref="I13:N13" si="0">SUBTOTAL(9,I8:I12)</f>
        <v>0</v>
      </c>
      <c r="J13" s="864">
        <f t="shared" si="0"/>
        <v>0</v>
      </c>
      <c r="K13" s="905">
        <f t="shared" si="0"/>
        <v>0</v>
      </c>
      <c r="L13" s="905">
        <f t="shared" si="0"/>
        <v>0</v>
      </c>
      <c r="M13" s="905">
        <f t="shared" si="0"/>
        <v>0</v>
      </c>
      <c r="N13" s="905">
        <f t="shared" si="0"/>
        <v>565</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14</v>
      </c>
      <c r="Z13" s="904">
        <f t="shared" si="2"/>
        <v>436</v>
      </c>
      <c r="AA13" s="897">
        <f t="shared" si="2"/>
        <v>135</v>
      </c>
      <c r="AB13" s="897">
        <f t="shared" si="2"/>
        <v>0</v>
      </c>
      <c r="AC13" s="897">
        <f t="shared" si="2"/>
        <v>0</v>
      </c>
      <c r="AD13" s="897">
        <f t="shared" si="2"/>
        <v>0</v>
      </c>
      <c r="AE13" s="897">
        <f t="shared" si="2"/>
        <v>11048</v>
      </c>
      <c r="AF13" s="905">
        <f t="shared" si="2"/>
        <v>0</v>
      </c>
      <c r="AG13" s="905">
        <f t="shared" si="2"/>
        <v>0</v>
      </c>
      <c r="AH13" s="905">
        <f t="shared" si="2"/>
        <v>0</v>
      </c>
      <c r="AI13" s="905">
        <f t="shared" si="2"/>
        <v>0</v>
      </c>
      <c r="AJ13" s="905">
        <f t="shared" si="2"/>
        <v>705</v>
      </c>
      <c r="AK13" s="905">
        <f t="shared" si="2"/>
        <v>1850</v>
      </c>
      <c r="AL13" s="905">
        <f t="shared" si="2"/>
        <v>0</v>
      </c>
      <c r="AM13" s="905">
        <f t="shared" si="2"/>
        <v>0</v>
      </c>
      <c r="AN13" s="905">
        <f t="shared" si="2"/>
        <v>0</v>
      </c>
      <c r="AO13" s="901">
        <f>IF(ISNUMBER(((NºAsuntos!I13/NºAsuntos!G13)*11)/factor_trimestre),((NºAsuntos!I13/NºAsuntos!G13)*11)/factor_trimestre," - ")</f>
        <v>10.493514515132798</v>
      </c>
      <c r="AP13" s="907" t="str">
        <f>IF(ISNUMBER(Datos!CI13/Datos!CJ13),Datos!CI13/Datos!CJ13," - ")</f>
        <v xml:space="preserve"> - </v>
      </c>
      <c r="AQ13" s="923">
        <f t="shared" ref="AQ13:AV13" si="3">SUBTOTAL(9,AQ9:AQ12)</f>
        <v>0</v>
      </c>
      <c r="AR13" s="923">
        <f t="shared" si="3"/>
        <v>5.4471116495266189E-2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4</v>
      </c>
      <c r="B15" s="506" t="s">
        <v>397</v>
      </c>
      <c r="C15" s="159" t="str">
        <f>Datos!A15</f>
        <v xml:space="preserve">Seccion Instruccion Del T.I.                   </v>
      </c>
      <c r="D15" s="501"/>
      <c r="E15" s="1163">
        <f>IF(ISNUMBER(Datos!AQ15),Datos!AQ15," - ")</f>
        <v>4</v>
      </c>
      <c r="F15" s="332">
        <f>IF(ISNUMBER(AA15+Y15-Datos!J15-K15),AA15+Y15-Datos!J15-K15," - ")</f>
        <v>1837</v>
      </c>
      <c r="G15" s="224">
        <f>IF(ISNUMBER(IF(D_I="SI",Datos!I15,Datos!I15+Datos!AC15)),IF(D_I="SI",Datos!I15,Datos!I15+Datos!AC15)," - ")</f>
        <v>1792</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99</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2414</v>
      </c>
      <c r="Z15" s="617">
        <f>IF(ISNUMBER(Datos!Q15),Datos!Q15," - ")</f>
        <v>106</v>
      </c>
      <c r="AA15" s="331">
        <f>IF(ISNUMBER(IF(D_I="SI",Datos!L15,Datos!L15+Datos!AF15)),IF(D_I="SI",Datos!L15,Datos!L15+Datos!AF15)," - ")</f>
        <v>1845</v>
      </c>
      <c r="AB15" s="333"/>
      <c r="AC15" s="333"/>
      <c r="AD15" s="483"/>
      <c r="AE15" s="483">
        <f>IF(ISNUMBER(Datos!R15),Datos!R15," - ")</f>
        <v>310</v>
      </c>
      <c r="AF15" s="228" t="str">
        <f>IF(ISNUMBER(Datos!BV15),Datos!BV15," - ")</f>
        <v xml:space="preserve"> - </v>
      </c>
      <c r="AG15" s="224"/>
      <c r="AH15" s="297"/>
      <c r="AI15" s="226"/>
      <c r="AJ15" s="224">
        <f>IF(ISNUMBER(Datos!M15),Datos!M15," - ")</f>
        <v>313</v>
      </c>
      <c r="AK15" s="228">
        <f>IF(ISNUMBER(Datos!N15),Datos!N15," - ")</f>
        <v>1422</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2.2928748964374486</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f>IF(ISNUMBER(AA17+Y17-Datos!J17-K15),AA17+Y17-Datos!J17-K15," - ")</f>
        <v>1</v>
      </c>
      <c r="G17" s="224">
        <f>IF(ISNUMBER(IF(D_I="SI",Datos!I17,Datos!I17+Datos!AC17)),IF(D_I="SI",Datos!I17,Datos!I17+Datos!AC17)," - ")</f>
        <v>1</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0</v>
      </c>
      <c r="Z17" s="617">
        <f>IF(ISNUMBER(Datos!Q17),Datos!Q17," - ")</f>
        <v>0</v>
      </c>
      <c r="AA17" s="331">
        <f>IF(ISNUMBER(IF(D_I="SI",Datos!L17,Datos!L17+Datos!AF17)),IF(D_I="SI",Datos!L17,Datos!L17+Datos!AF17)," - ")</f>
        <v>1</v>
      </c>
      <c r="AB17" s="333"/>
      <c r="AC17" s="333"/>
      <c r="AD17" s="483"/>
      <c r="AE17" s="483">
        <f>IF(ISNUMBER(Datos!R17),Datos!R17," - ")</f>
        <v>0</v>
      </c>
      <c r="AF17" s="228" t="str">
        <f>IF(ISNUMBER(Datos!BV17),Datos!BV17," - ")</f>
        <v xml:space="preserve"> - </v>
      </c>
      <c r="AG17" s="224"/>
      <c r="AH17" s="297"/>
      <c r="AI17" s="226"/>
      <c r="AJ17" s="224">
        <f>IF(ISNUMBER(Datos!M17),Datos!M17," - ")</f>
        <v>0</v>
      </c>
      <c r="AK17" s="228">
        <f>IF(ISNUMBER(Datos!N17),Datos!N17," - ")</f>
        <v>0</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1</v>
      </c>
      <c r="F18" s="224" t="str">
        <f>IF(ISNUMBER(AA18+Y18-I18-K18),AA18+Y18-I18-K18," - ")</f>
        <v xml:space="preserve"> - </v>
      </c>
      <c r="G18" s="522">
        <f>IF(ISNUMBER(IF(D_I="SI",Datos!I18,Datos!I18+Datos!AC18)),IF(D_I="SI",Datos!I18,Datos!I18+Datos!AC18)," - ")</f>
        <v>298</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288</v>
      </c>
      <c r="Z18" s="617">
        <f>IF(ISNUMBER(Datos!Q18),Datos!Q18," - ")</f>
        <v>4</v>
      </c>
      <c r="AA18" s="331">
        <f>IF(ISNUMBER(Datos!L18),Datos!L18,"-")</f>
        <v>343</v>
      </c>
      <c r="AB18" s="333"/>
      <c r="AC18" s="333"/>
      <c r="AD18" s="483"/>
      <c r="AE18" s="483">
        <f>IF(ISNUMBER(Datos!R18),Datos!R18," - ")</f>
        <v>5</v>
      </c>
      <c r="AF18" s="228" t="str">
        <f>IF(ISNUMBER(Datos!BV18),Datos!BV18," - ")</f>
        <v xml:space="preserve"> - </v>
      </c>
      <c r="AG18" s="224" t="str">
        <f>IF(ISNUMBER(Datos!DV18),Datos!DV18," - ")</f>
        <v xml:space="preserve"> - </v>
      </c>
      <c r="AH18" s="297"/>
      <c r="AI18" s="226"/>
      <c r="AJ18" s="224">
        <f>IF(ISNUMBER(Datos!M18),Datos!M18," - ")</f>
        <v>7</v>
      </c>
      <c r="AK18" s="228">
        <f>IF(ISNUMBER(Datos!N18),Datos!N18," - ")</f>
        <v>213</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3.5729166666666674</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5</v>
      </c>
      <c r="F19" s="895">
        <f>SUBTOTAL(9,F15:F18)</f>
        <v>1838</v>
      </c>
      <c r="G19" s="895">
        <f>SUBTOTAL(9,G15:G18)</f>
        <v>2091</v>
      </c>
      <c r="H19" s="927">
        <f>SUBTOTAL(9,H15:H18)</f>
        <v>0</v>
      </c>
      <c r="I19" s="908">
        <f>SUBTOTAL(9,I15:I18)</f>
        <v>0</v>
      </c>
      <c r="J19" s="864">
        <f>SUBTOTAL(9,J14:J18)</f>
        <v>0</v>
      </c>
      <c r="K19" s="927">
        <f t="shared" ref="K19:S19" si="4">SUBTOTAL(9,K15:K18)</f>
        <v>0</v>
      </c>
      <c r="L19" s="927">
        <f t="shared" si="4"/>
        <v>0</v>
      </c>
      <c r="M19" s="927">
        <f t="shared" si="4"/>
        <v>0</v>
      </c>
      <c r="N19" s="927">
        <f t="shared" si="4"/>
        <v>99</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2702</v>
      </c>
      <c r="Z19" s="927">
        <f t="shared" si="5"/>
        <v>110</v>
      </c>
      <c r="AA19" s="927">
        <f t="shared" si="5"/>
        <v>2189</v>
      </c>
      <c r="AB19" s="927">
        <f t="shared" si="5"/>
        <v>0</v>
      </c>
      <c r="AC19" s="927">
        <f t="shared" si="5"/>
        <v>0</v>
      </c>
      <c r="AD19" s="927">
        <f t="shared" si="5"/>
        <v>0</v>
      </c>
      <c r="AE19" s="927">
        <f t="shared" si="5"/>
        <v>315</v>
      </c>
      <c r="AF19" s="927">
        <f t="shared" si="5"/>
        <v>0</v>
      </c>
      <c r="AG19" s="927">
        <f t="shared" si="5"/>
        <v>0</v>
      </c>
      <c r="AH19" s="927">
        <f t="shared" si="5"/>
        <v>0</v>
      </c>
      <c r="AI19" s="927">
        <f t="shared" si="5"/>
        <v>0</v>
      </c>
      <c r="AJ19" s="927">
        <f t="shared" si="5"/>
        <v>320</v>
      </c>
      <c r="AK19" s="927">
        <f t="shared" si="5"/>
        <v>1635</v>
      </c>
      <c r="AL19" s="927">
        <f t="shared" si="5"/>
        <v>0</v>
      </c>
      <c r="AM19" s="927">
        <f t="shared" si="5"/>
        <v>0</v>
      </c>
      <c r="AN19" s="927">
        <f t="shared" si="5"/>
        <v>0</v>
      </c>
      <c r="AO19" s="929">
        <f>IF(ISNUMBER(((NºAsuntos!I19/NºAsuntos!G19)*11)/factor_trimestre),((NºAsuntos!I19/NºAsuntos!G19)*11)/factor_trimestre," - ")</f>
        <v>2.4304219096965212</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12</v>
      </c>
      <c r="F20" s="817">
        <f t="shared" si="7"/>
        <v>1957</v>
      </c>
      <c r="G20" s="817">
        <f t="shared" si="7"/>
        <v>2210</v>
      </c>
      <c r="H20" s="818">
        <f t="shared" si="7"/>
        <v>0</v>
      </c>
      <c r="I20" s="817">
        <f t="shared" si="7"/>
        <v>0</v>
      </c>
      <c r="J20" s="819">
        <f t="shared" si="7"/>
        <v>0</v>
      </c>
      <c r="K20" s="817">
        <f t="shared" si="7"/>
        <v>0</v>
      </c>
      <c r="L20" s="820">
        <f t="shared" si="7"/>
        <v>0</v>
      </c>
      <c r="M20" s="817">
        <f t="shared" si="7"/>
        <v>0</v>
      </c>
      <c r="N20" s="818">
        <f t="shared" si="7"/>
        <v>664</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2716</v>
      </c>
      <c r="Z20" s="824">
        <f t="shared" si="8"/>
        <v>546</v>
      </c>
      <c r="AA20" s="825">
        <f t="shared" si="8"/>
        <v>2324</v>
      </c>
      <c r="AB20" s="825">
        <f t="shared" si="8"/>
        <v>0</v>
      </c>
      <c r="AC20" s="825">
        <f t="shared" si="8"/>
        <v>0</v>
      </c>
      <c r="AD20" s="826">
        <f t="shared" si="8"/>
        <v>0</v>
      </c>
      <c r="AE20" s="826">
        <f t="shared" si="8"/>
        <v>11363</v>
      </c>
      <c r="AF20" s="827">
        <f t="shared" si="8"/>
        <v>0</v>
      </c>
      <c r="AG20" s="828">
        <f t="shared" si="8"/>
        <v>0</v>
      </c>
      <c r="AH20" s="829">
        <f t="shared" si="8"/>
        <v>0</v>
      </c>
      <c r="AI20" s="827">
        <f t="shared" si="8"/>
        <v>0</v>
      </c>
      <c r="AJ20" s="817">
        <f t="shared" si="8"/>
        <v>1025</v>
      </c>
      <c r="AK20" s="817">
        <f t="shared" si="8"/>
        <v>3485</v>
      </c>
      <c r="AL20" s="817">
        <f t="shared" si="8"/>
        <v>0</v>
      </c>
      <c r="AM20" s="830">
        <f t="shared" si="8"/>
        <v>0</v>
      </c>
      <c r="AN20" s="820">
        <f>IF(ISNUMBER(Datos!K20/Datos!J20),Datos!K20/Datos!J20," - ")</f>
        <v>1.0037326697476003</v>
      </c>
      <c r="AO20" s="820">
        <f>IF(ISNUMBER(FIND("06",Criterios!A8,1)),(IF(ISNUMBER(((Datos!R20/Datos!Q20)*11)/factor_trimestre),((Datos!R20/Datos!Q20)*11)/factor_trimestre," - ")),(IF(ISNUMBER(((Datos!L20/Datos!K20)*11)/factor_trimestre),((Datos!L20/Datos!K20)*11)/factor_trimestre," - ")))</f>
        <v>7.1103240658756874</v>
      </c>
      <c r="AP20" s="831" t="str">
        <f>IF(ISNUMBER(Datos!CI20/Datos!CJ20),Datos!CI20/Datos!CJ20," - ")</f>
        <v xml:space="preserve"> - </v>
      </c>
      <c r="AQ20" s="831">
        <f>IF(OR(ISNUMBER(FIND("01",Criterios!A8,1)),ISNUMBER(FIND("02",Criterios!A8,1)),ISNUMBER(FIND("03",Criterios!A8,1)),ISNUMBER(FIND("04",Criterios!A8,1))),(J20-Y20+K20)/(F20-K20),(I20-Y20+K20)/(F20-K20))</f>
        <v>-1.3878385283597343</v>
      </c>
      <c r="AR20" s="831">
        <f>IF(ISNUMBER((Datos!P20-Datos!Q20+O20)/(Datos!R20-Datos!P20+Datos!Q20-O20)),(Datos!P20-Datos!Q20+O20)/(Datos!R20-Datos!P20+Datos!Q20-O20)," - ")</f>
        <v>1.0493552690084482E-2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736.66666666666663</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964.00943978780617</v>
      </c>
      <c r="G22" s="551">
        <f>IF(ISNUMBER(STDEV(G8:G19)),STDEV(G8:G19),"-")</f>
        <v>942.82610627128201</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314.67201367531271</v>
      </c>
      <c r="AK22" s="251"/>
      <c r="AL22" s="251">
        <f>IF(ISNUMBER(STDEV(AL8:AL19)),STDEV(AL8:AL19),"-")</f>
        <v>0</v>
      </c>
      <c r="AM22" s="253">
        <f>IF(ISNUMBER(STDEV(AM8:AM19)),STDEV(AM8:AM19),"-")</f>
        <v>0</v>
      </c>
      <c r="AN22" s="538">
        <f>IF(ISNUMBER(STDEV(AN8:AN19)),STDEV(AN8:AN19),"-")</f>
        <v>0</v>
      </c>
      <c r="AO22" s="539">
        <f>IF(ISNUMBER(STDEV(AO8:AO19)),STDEV(AO8:AO19),"-")</f>
        <v>10.160012734501638</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OOPxqq6orFWfaJbzXydE/R/5ZnCQqxGlQbF94WbpQF9IljDIWxq1c745jUgeo8t7Ncz6c7su/6w2rkWWUpxSZQ==" saltValue="KM6e8lH/3HkrT3uk4983j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ewzzzt9QRjM9iGEO68LbhO4U43hI846TwNVaUE67cwVF8aySoMjWXGMLwavfV4S8rz+KLGjVzYGOCjMi8DyuXw==" saltValue="kacgLYBFhrqUIXoCiP8A+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VAC5GWjqLLprH+8GDWaNAbDw8446yC+z7zTh9mfROIsxC1dXditb/QHhECIuhBHfkC06KWh/JuCObD+zEtHWAw==" saltValue="QoBf+4FUPZYx7WoYHQKVk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MADRID</v>
      </c>
    </row>
    <row r="2" spans="1:78" ht="16.5" customHeight="1">
      <c r="C2" s="487" t="str">
        <f>Criterios!A10 &amp;"  "&amp;Criterios!B10 &amp; "  " &amp; IF(NOT(ISBLANK(Criterios!A11)),Criterios!A11 &amp;"  "&amp;Criterios!B11,"")</f>
        <v>Provincias  MADRID  Resumenes por Partidos Judiciales  TORREJON DE ARDOZ</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0.21772699197035206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0.15395623246958492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J+BR/8fOiYjLIm/xXYwZhpBEPCvSIN4pR7yrDt5h6boQsQcF4Bw7+GsKxAgJBuBxVQgGwC99vZlwv9V2iZIADg==" saltValue="8wgdrQanzGKcG4O0duave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JTYIB3j117vSfbwSzjbs1FuqUjhCR3GrFvtUaDNkUwQAUH9oSM8n94Yu7zSMum5ct9QI7adL3BqOgibZRlsF8w==" saltValue="Pv6iKlPI9rVRfGQWd+tZR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MADRID</v>
      </c>
      <c r="W1"/>
      <c r="X1"/>
    </row>
    <row r="2" spans="1:78" ht="16.5" customHeight="1">
      <c r="C2" s="487" t="str">
        <f>Criterios!A10 &amp;"  "&amp;Criterios!B10 &amp; "  " &amp; IF(NOT(ISBLANK(Criterios!A11)),Criterios!A11 &amp;"  "&amp;Criterios!B11,"")</f>
        <v>Provincias  MADRID  Resumenes por Partidos Judiciales  TORREJON DE ARDOZ</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6</v>
      </c>
      <c r="B9" s="500" t="s">
        <v>247</v>
      </c>
      <c r="C9" s="159" t="str">
        <f>Datos!A9</f>
        <v>Sección Civil del T.I</v>
      </c>
      <c r="D9" s="501"/>
      <c r="E9" s="679">
        <f>IF(ISNUMBER(Datos!AQ9),Datos!AQ9," - ")</f>
        <v>6</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1</v>
      </c>
      <c r="F10" s="680">
        <f>IF(ISNUMBER(Datos!L10+Datos!K10-Datos!J10),Datos!L10+Datos!K10-Datos!J10," - ")</f>
        <v>119</v>
      </c>
      <c r="G10" s="681">
        <f>IF(ISNUMBER(Datos!I10),Datos!I10," - ")</f>
        <v>119</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5</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14</v>
      </c>
      <c r="AC10" s="680" t="str">
        <f>IF(ISNUMBER(IF(D_I="SI",DatosP!K18,DatosP!K18+DatosP!AE18)),IF(D_I="SI",DatosP!K18,DatosP!K18+DatosP!AE18)," - ")</f>
        <v xml:space="preserve"> - </v>
      </c>
      <c r="AD10" s="682"/>
      <c r="AE10" s="682"/>
      <c r="AF10" s="685">
        <f>IF(ISNUMBER(Datos!L10),Datos!L10,"-")</f>
        <v>135</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13</v>
      </c>
      <c r="AN10" s="687">
        <f>IF(ISNUMBER(Datos!BW10+DatosP!BW18),Datos!BW10+DatosP!BW18," - ")</f>
        <v>0</v>
      </c>
      <c r="AO10" s="688">
        <f>IF(ISNUMBER(Datos!BX10+DatosP!BX18),Datos!BX10+DatosP!BX18," - ")</f>
        <v>0</v>
      </c>
      <c r="AP10" s="690">
        <f>IF(ISNUMBER(((Datos!L10/Datos!K10)*11)/factor_trimestre),((Datos!L10/Datos!K10)*11)/factor_trimestre," - ")</f>
        <v>28.928571428571431</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7</v>
      </c>
      <c r="F13" s="933">
        <f t="shared" si="0"/>
        <v>119</v>
      </c>
      <c r="G13" s="933">
        <f t="shared" si="0"/>
        <v>119</v>
      </c>
      <c r="H13" s="933">
        <f t="shared" si="0"/>
        <v>0</v>
      </c>
      <c r="I13" s="935">
        <f t="shared" si="0"/>
        <v>0</v>
      </c>
      <c r="J13" s="934">
        <f t="shared" si="0"/>
        <v>0</v>
      </c>
      <c r="K13" s="934">
        <f t="shared" si="0"/>
        <v>0</v>
      </c>
      <c r="L13" s="936">
        <f t="shared" si="0"/>
        <v>0</v>
      </c>
      <c r="M13" s="936">
        <f t="shared" si="0"/>
        <v>0</v>
      </c>
      <c r="N13" s="934">
        <f t="shared" si="0"/>
        <v>5</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14</v>
      </c>
      <c r="AC13" s="934">
        <f t="shared" si="1"/>
        <v>0</v>
      </c>
      <c r="AD13" s="934">
        <f t="shared" si="1"/>
        <v>0</v>
      </c>
      <c r="AE13" s="934">
        <f t="shared" si="1"/>
        <v>0</v>
      </c>
      <c r="AF13" s="934">
        <f t="shared" si="1"/>
        <v>135</v>
      </c>
      <c r="AG13" s="934">
        <f t="shared" si="1"/>
        <v>0</v>
      </c>
      <c r="AH13" s="934">
        <f t="shared" si="1"/>
        <v>0</v>
      </c>
      <c r="AI13" s="934">
        <f t="shared" si="1"/>
        <v>0</v>
      </c>
      <c r="AJ13" s="934">
        <f t="shared" si="1"/>
        <v>0</v>
      </c>
      <c r="AK13" s="934">
        <f t="shared" si="1"/>
        <v>0</v>
      </c>
      <c r="AL13" s="934">
        <f t="shared" si="1"/>
        <v>0</v>
      </c>
      <c r="AM13" s="934">
        <f t="shared" si="1"/>
        <v>13</v>
      </c>
      <c r="AN13" s="934">
        <f t="shared" si="1"/>
        <v>0</v>
      </c>
      <c r="AO13" s="934">
        <f t="shared" si="1"/>
        <v>0</v>
      </c>
      <c r="AP13" s="939">
        <f>IF(ISNUMBER(((Datos!L13/Datos!K13)*11)/factor_trimestre),((Datos!L13/Datos!K13)*11)/factor_trimestre," - ")</f>
        <v>11.404074702886248</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-0.11764705882352941</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4</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2.4304219096965212</v>
      </c>
      <c r="AQ19" s="939">
        <f>IF(ISNUMBER(((Datos!M19/Datos!L19)*11)/factor_trimestre),((Datos!M19/Datos!L19)*11)/factor_trimestre," - ")</f>
        <v>0.43855641845591592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-3.3742331288343558E-2</v>
      </c>
      <c r="AW19" s="941">
        <f>IF(ISNUMBER((Datos!Q19-Datos!R19)/(Datos!S19-Datos!Q19+Datos!R19)),(Datos!Q19-Datos!R19)/(Datos!S19-Datos!Q19+Datos!R19)," - ")</f>
        <v>-0.11251372118551042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7</v>
      </c>
      <c r="F20" s="946">
        <f t="shared" si="4"/>
        <v>119</v>
      </c>
      <c r="G20" s="946">
        <f t="shared" si="4"/>
        <v>119</v>
      </c>
      <c r="H20" s="946">
        <f t="shared" si="4"/>
        <v>0</v>
      </c>
      <c r="I20" s="947">
        <f t="shared" si="4"/>
        <v>0</v>
      </c>
      <c r="J20" s="948">
        <f t="shared" si="4"/>
        <v>0</v>
      </c>
      <c r="K20" s="948">
        <f t="shared" si="4"/>
        <v>0</v>
      </c>
      <c r="L20" s="948">
        <f t="shared" si="4"/>
        <v>0</v>
      </c>
      <c r="M20" s="948">
        <f t="shared" si="4"/>
        <v>0</v>
      </c>
      <c r="N20" s="947">
        <f t="shared" si="4"/>
        <v>5</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14</v>
      </c>
      <c r="AC20" s="952">
        <f t="shared" si="5"/>
        <v>0</v>
      </c>
      <c r="AD20" s="952">
        <f t="shared" si="5"/>
        <v>0</v>
      </c>
      <c r="AE20" s="952">
        <f t="shared" si="5"/>
        <v>0</v>
      </c>
      <c r="AF20" s="953">
        <f t="shared" si="5"/>
        <v>135</v>
      </c>
      <c r="AG20" s="953">
        <f t="shared" si="5"/>
        <v>0</v>
      </c>
      <c r="AH20" s="953">
        <f t="shared" si="5"/>
        <v>0</v>
      </c>
      <c r="AI20" s="953">
        <f t="shared" si="5"/>
        <v>0</v>
      </c>
      <c r="AJ20" s="954">
        <f t="shared" si="5"/>
        <v>0</v>
      </c>
      <c r="AK20" s="954">
        <f t="shared" si="5"/>
        <v>0</v>
      </c>
      <c r="AL20" s="946">
        <f t="shared" si="5"/>
        <v>0</v>
      </c>
      <c r="AM20" s="946">
        <f t="shared" si="5"/>
        <v>13</v>
      </c>
      <c r="AN20" s="946">
        <f t="shared" si="5"/>
        <v>0</v>
      </c>
      <c r="AO20" s="946">
        <f t="shared" si="5"/>
        <v>0</v>
      </c>
      <c r="AP20" s="946">
        <f>IF(ISNUMBER(((Datos!L20/Datos!K20)*11)/factor_trimestre),((Datos!L20/Datos!K20)*11)/factor_trimestre," - ")</f>
        <v>7.1103240658756874</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-0.11764705882352941</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1.0493552690084482E-2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79.333333333333329</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3.2659863237109041</v>
      </c>
      <c r="F22" s="733">
        <f>IF(ISNUMBER(STDEV(F8:F19)),STDEV(F8:F19),"-")</f>
        <v>68.704682033565476</v>
      </c>
      <c r="G22" s="734">
        <f>IF(ISNUMBER(STDEV(G8:G19)),STDEV(G8:G19),"-")</f>
        <v>68.704682033565476</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8.0829037686547611</v>
      </c>
      <c r="AC22" s="735">
        <f>IF(ISNUMBER(STDEV(AC8:AC19)),STDEV(AC8:AC19),"-")</f>
        <v>0</v>
      </c>
      <c r="AD22" s="738"/>
      <c r="AE22" s="738"/>
      <c r="AF22" s="738"/>
      <c r="AG22" s="738"/>
      <c r="AH22" s="738"/>
      <c r="AI22" s="738"/>
      <c r="AJ22" s="739">
        <f>IF(ISNUMBER(STDEV(AJ8:AJ19)),STDEV(AJ8:AJ19),"-")</f>
        <v>0</v>
      </c>
      <c r="AK22" s="741"/>
      <c r="AL22" s="733">
        <f>IF(ISNUMBER(STDEV(AL8:AL19)),STDEV(AL8:AL19),"-")</f>
        <v>0</v>
      </c>
      <c r="AM22" s="733"/>
      <c r="AN22" s="733">
        <f>IF(ISNUMBER(STDEV(AN8:AN19)),STDEV(AN8:AN19),"-")</f>
        <v>0</v>
      </c>
      <c r="AO22" s="739">
        <f>IF(ISNUMBER(STDEV(AO8:AO19)),STDEV(AO8:AO19),"-")</f>
        <v>0</v>
      </c>
      <c r="AP22" s="776">
        <f>IF(ISNUMBER(STDEV(AP8:AP19)),STDEV(AP8:AP19),"-")</f>
        <v>13.477056787159448</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ZbpI8PhhBxLjestqByOkQrCsehUtKRh86HTH3WgqUJkAqgYQ82ehq8Fk4vVHZa+uF2AqUW7MuLupAOIYiWJAqg==" saltValue="4GHj4K26Qnuux7tlMJ5M5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MADRID</v>
      </c>
    </row>
    <row r="2" spans="1:168" ht="16.5" customHeight="1">
      <c r="C2" s="487" t="str">
        <f>Criterios!A10 &amp;"  "&amp;Criterios!B10 &amp; "  " &amp; IF(NOT(ISBLANK(Criterios!A11)),Criterios!A11 &amp;"  "&amp;Criterios!B11,"")</f>
        <v>Provincias  MADRID  Resumenes por Partidos Judiciales  TORREJON DE ARDOZ</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6</v>
      </c>
      <c r="B9" s="500" t="s">
        <v>247</v>
      </c>
      <c r="C9" s="159" t="str">
        <f>Datos!A9</f>
        <v>Sección Civil del T.I</v>
      </c>
      <c r="D9" s="501"/>
      <c r="E9" s="259">
        <f>IF(ISNUMBER(Datos!AQ9),Datos!AQ9," - ")</f>
        <v>6</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266</v>
      </c>
      <c r="O9" s="333"/>
      <c r="P9" s="333"/>
      <c r="Q9" s="225">
        <f>IF(ISNUMBER(Datos!P9),Datos!P9,0)</f>
        <v>560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434</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131</v>
      </c>
      <c r="AI9" s="224" t="str">
        <f>IF(ISNUMBER(Datos!CD9),Datos!CD9,"-")</f>
        <v>-</v>
      </c>
      <c r="AJ9" s="224" t="str">
        <f>IF(ISNUMBER(Datos!EN9),Datos!EN9," - ")</f>
        <v xml:space="preserve"> - </v>
      </c>
      <c r="AK9" s="333"/>
      <c r="AL9" s="478"/>
      <c r="AM9" s="224">
        <f>IF(ISNUMBER(Datos!R9),Datos!R9," - ")</f>
        <v>10975</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705</v>
      </c>
      <c r="BD9" s="228">
        <f>IF(ISNUMBER(Datos!N9),Datos!N9," - ")</f>
        <v>1837</v>
      </c>
      <c r="BE9" s="224" t="str">
        <f>IF(ISNUMBER(Datos!BW9),Datos!BW9," - ")</f>
        <v xml:space="preserve"> - </v>
      </c>
      <c r="BF9" s="224" t="str">
        <f>IF(ISNUMBER(Datos!BX9),Datos!BX9," - ")</f>
        <v xml:space="preserve"> - </v>
      </c>
      <c r="BG9" s="242">
        <f>IF(ISNUMBER(IF(J_V="SI",Datos!K9/Datos!J9,(Datos!K9+Datos!AA9)/(Datos!J9+Datos!Z9))),IF(J_V="SI",Datos!K9/Datos!J9,(Datos!K9+Datos!AA9)/(Datos!J9+Datos!Z9))," - ")</f>
        <v>1.0313499680102367</v>
      </c>
      <c r="BH9" s="224">
        <f>IF(ISNUMBER(((IF(J_V="SI",Datos!L9/Datos!K9,(Datos!L9+Datos!AB9)/(Datos!K9+Datos!AA9)))*11)/factor_trimestre),((IF(J_V="SI",Datos!L9/Datos!K9,(Datos!L9+Datos!AB9)/(Datos!K9+Datos!AA9)))*11)/factor_trimestre," - ")</f>
        <v>10.413461538461538</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1.161397363812333E-2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857.81144343494373</v>
      </c>
      <c r="CF9" s="228">
        <f ca="1">AVERAGEIFS($AB:$AB,$BW:$BW,BW9,$BX:$BX,BX9)</f>
        <v>857.81144343494373</v>
      </c>
      <c r="CG9" s="1191">
        <v>0.7</v>
      </c>
      <c r="CH9" s="1191">
        <f ca="1">AVERAGEIF($BW:$BW,$BW9,$AC:$AC)</f>
        <v>148.90909090909091</v>
      </c>
      <c r="CI9" s="228">
        <f ca="1">AVERAGEIFS($AC:$AC,$BW:$BW,$BW9,$BX:$BX,$BX9)</f>
        <v>148.90909090909091</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697.2</v>
      </c>
      <c r="CR9" s="228">
        <f ca="1">AVERAGEIFS($AF:$AF,$BW:$BW,BW9,$BX:$BX,BX9)</f>
        <v>697.2</v>
      </c>
      <c r="CS9" s="1191">
        <v>1.3</v>
      </c>
      <c r="CT9" s="1191">
        <v>1.5</v>
      </c>
      <c r="CU9" s="1191">
        <f ca="1">AVERAGEIF($BW:$BW,$BW9,$AH:$AH)</f>
        <v>56.142857142857146</v>
      </c>
      <c r="CV9" s="228">
        <f ca="1">AVERAGEIFS($AH:$AH,$BW:$BW,$BW9,$BX:$BX,$BX9)</f>
        <v>56.142857142857146</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3099</v>
      </c>
      <c r="DH9" s="228">
        <f ca="1">AVERAGEIFS($AM:$AM,$BW:$BW,$BW9,$BX:$BX,$BX9)</f>
        <v>3099</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6.9394421318311883</v>
      </c>
      <c r="ER9" s="228">
        <f ca="1">AVERAGEIFS($BH:$BH,$BW:$BW,$BW9,$BX:$BX,$BX9)</f>
        <v>6.9394421318311883</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1</v>
      </c>
      <c r="F10" s="224">
        <f>IF(ISNUMBER(Datos!L10+Datos!K10-Datos!J10),Datos!L10+Datos!K10-Datos!J10," - ")</f>
        <v>119</v>
      </c>
      <c r="G10" s="332">
        <f>IF(ISNUMBER(Datos!I10),Datos!I10," - ")</f>
        <v>119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5</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14</v>
      </c>
      <c r="AC10" s="224">
        <f>IF(ISNUMBER(Datos!Q10),Datos!Q10," - ")</f>
        <v>2</v>
      </c>
      <c r="AD10" s="224"/>
      <c r="AE10" s="224"/>
      <c r="AF10" s="224">
        <f>IF(ISNUMBER(Datos!L10),Datos!L10,"-")</f>
        <v>135</v>
      </c>
      <c r="AG10" s="333"/>
      <c r="AH10" s="224"/>
      <c r="AI10" s="224"/>
      <c r="AJ10" s="224"/>
      <c r="AK10" s="333"/>
      <c r="AL10" s="478"/>
      <c r="AM10" s="224">
        <f>IF(ISNUMBER(Datos!R10),Datos!R10," - ")</f>
        <v>73</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13</v>
      </c>
      <c r="BE10" s="224" t="str">
        <f>IF(ISNUMBER(Datos!BW10),Datos!BW10," - ")</f>
        <v xml:space="preserve"> - </v>
      </c>
      <c r="BF10" s="224" t="str">
        <f>IF(ISNUMBER(Datos!BX10),Datos!BX10," - ")</f>
        <v xml:space="preserve"> - </v>
      </c>
      <c r="BG10" s="242">
        <f>IF(ISNUMBER(Datos!K10/Datos!J10),Datos!K10/Datos!J10," - ")</f>
        <v>0.46666666666666667</v>
      </c>
      <c r="BH10" s="224">
        <f>IF(ISNUMBER(((Datos!L10/Datos!K10)*11)/factor_trimestre),((Datos!L10/Datos!K10)*11)/factor_trimestre," - ")</f>
        <v>28.928571428571431</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4.2857142857142858E-2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857.81144343494373</v>
      </c>
      <c r="CF10" s="228">
        <f ca="1">AVERAGEIFS($AB:$AB,$BW:$BW,BW10,$BX:$BX,BX10)</f>
        <v>857.81144343494373</v>
      </c>
      <c r="CG10" s="1191">
        <v>0.7</v>
      </c>
      <c r="CH10" s="1191">
        <f ca="1">AVERAGEIF($BW:$BW,BW10,$AC:$AC)</f>
        <v>148.90909090909091</v>
      </c>
      <c r="CI10" s="228">
        <f ca="1">AVERAGEIFS($AC:$AC,$BW:$BW,BW10,$BX:$BX,BX10)</f>
        <v>148.90909090909091</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697.2</v>
      </c>
      <c r="CR10" s="228">
        <f ca="1">AVERAGEIFS($AF:$AF,$BW:$BW,BW10,$BX:$BX,BX10)</f>
        <v>697.2</v>
      </c>
      <c r="CS10" s="1191">
        <v>1.3</v>
      </c>
      <c r="CT10" s="1191">
        <v>1.5</v>
      </c>
      <c r="CU10" s="1191">
        <f ca="1">AVERAGEIF($BW:$BW,$BW10,$AH:$AH)</f>
        <v>56.142857142857146</v>
      </c>
      <c r="CV10" s="228">
        <f ca="1">AVERAGEIFS($AH:$AH,$BW:$BW,$BW10,$BX:$BX,$BX10)</f>
        <v>56.142857142857146</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3099</v>
      </c>
      <c r="DH10" s="228">
        <f ca="1">AVERAGEIFS($AM:$AM,$BW:$BW,$BW10,$BX:$BX,$BX10)</f>
        <v>3099</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6.9394421318311883</v>
      </c>
      <c r="ER10" s="228">
        <f ca="1">AVERAGEIFS($BH:$BH,$BW:$BW,$BW10,$BX:$BX,$BX10)</f>
        <v>6.9394421318311883</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857.81144343494373</v>
      </c>
      <c r="CF11" s="228">
        <f ca="1">AVERAGEIFS($AB:$AB,$BW:$BW,BW11,$BX:$BX,BX11)</f>
        <v>857.81144343494373</v>
      </c>
      <c r="CG11" s="1191">
        <v>0.7</v>
      </c>
      <c r="CH11" s="1191">
        <f ca="1">AVERAGEIF($BW:$BW,BW11,$AC:$AC)</f>
        <v>148.90909090909091</v>
      </c>
      <c r="CI11" s="228">
        <f ca="1">AVERAGEIFS($AC:$AC,$BW:$BW,BW11,$BX:$BX,BX11)</f>
        <v>148.90909090909091</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697.2</v>
      </c>
      <c r="CR11" s="228">
        <f ca="1">AVERAGEIFS($AF:$AF,$BW:$BW,BW11,$BX:$BX,BX11)</f>
        <v>697.2</v>
      </c>
      <c r="CS11" s="1191">
        <v>1.3</v>
      </c>
      <c r="CT11" s="1191">
        <v>1.5</v>
      </c>
      <c r="CU11" s="1191">
        <f ca="1">AVERAGEIF($BW:$BW,$BW11,$AH:$AH)</f>
        <v>56.142857142857146</v>
      </c>
      <c r="CV11" s="228">
        <f ca="1">AVERAGEIFS($AH:$AH,$BW:$BW,$BW11,$BX:$BX,$BX11)</f>
        <v>56.142857142857146</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3099</v>
      </c>
      <c r="DH11" s="228">
        <f ca="1">AVERAGEIFS($AM:$AM,$BW:$BW,$BW11,$BX:$BX,$BX11)</f>
        <v>3099</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6.9394421318311883</v>
      </c>
      <c r="ER11" s="228">
        <f ca="1">AVERAGEIFS($BH:$BH,$BW:$BW,$BW11,$BX:$BX,$BX11)</f>
        <v>6.9394421318311883</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857.81144343494373</v>
      </c>
      <c r="CF12" s="228">
        <f ca="1">AVERAGEIFS($AB:$AB,$BW:$BW,BW12,$BX:$BX,BX12)</f>
        <v>857.81144343494373</v>
      </c>
      <c r="CG12" s="1191">
        <v>0.7</v>
      </c>
      <c r="CH12" s="1191">
        <f ca="1">AVERAGEIF($BW:$BW,BW12,$AC:$AC)</f>
        <v>148.90909090909091</v>
      </c>
      <c r="CI12" s="228">
        <f ca="1">AVERAGEIFS($AC:$AC,$BW:$BW,BW12,$BX:$BX,BX12)</f>
        <v>148.90909090909091</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697.2</v>
      </c>
      <c r="CR12" s="228">
        <f ca="1">AVERAGEIFS($AF:$AF,$BW:$BW,BW12,$BX:$BX,BX12)</f>
        <v>697.2</v>
      </c>
      <c r="CS12" s="1191">
        <v>1.3</v>
      </c>
      <c r="CT12" s="1191">
        <v>1.5</v>
      </c>
      <c r="CU12" s="1191">
        <f ca="1">AVERAGEIF($BW:$BW,$BW12,$AH:$AH)</f>
        <v>56.142857142857146</v>
      </c>
      <c r="CV12" s="228">
        <f ca="1">AVERAGEIFS($AH:$AH,$BW:$BW,$BW12,$BX:$BX,$BX12)</f>
        <v>56.142857142857146</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3099</v>
      </c>
      <c r="DH12" s="228">
        <f ca="1">AVERAGEIFS($AM:$AM,$BW:$BW,$BW12,$BX:$BX,$BX12)</f>
        <v>3099</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6.9394421318311883</v>
      </c>
      <c r="ER12" s="228">
        <f ca="1">AVERAGEIFS($BH:$BH,$BW:$BW,$BW12,$BX:$BX,$BX12)</f>
        <v>6.9394421318311883</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7</v>
      </c>
      <c r="F13" s="895">
        <f t="shared" si="1"/>
        <v>119</v>
      </c>
      <c r="G13" s="895">
        <f t="shared" si="1"/>
        <v>119</v>
      </c>
      <c r="H13" s="896">
        <f t="shared" si="1"/>
        <v>0</v>
      </c>
      <c r="I13" s="895">
        <f t="shared" si="1"/>
        <v>0</v>
      </c>
      <c r="J13" s="864">
        <f t="shared" si="1"/>
        <v>0</v>
      </c>
      <c r="K13" s="864">
        <f t="shared" si="1"/>
        <v>0</v>
      </c>
      <c r="L13" s="896">
        <f t="shared" si="1"/>
        <v>0</v>
      </c>
      <c r="M13" s="896">
        <f t="shared" si="1"/>
        <v>0</v>
      </c>
      <c r="N13" s="896">
        <f t="shared" si="1"/>
        <v>266</v>
      </c>
      <c r="O13" s="897">
        <f t="shared" si="1"/>
        <v>0</v>
      </c>
      <c r="P13" s="897">
        <f t="shared" si="1"/>
        <v>0</v>
      </c>
      <c r="Q13" s="896">
        <f t="shared" si="1"/>
        <v>565</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14</v>
      </c>
      <c r="AC13" s="896">
        <f t="shared" si="2"/>
        <v>436</v>
      </c>
      <c r="AD13" s="896">
        <f t="shared" si="2"/>
        <v>0</v>
      </c>
      <c r="AE13" s="896">
        <f t="shared" si="2"/>
        <v>0</v>
      </c>
      <c r="AF13" s="896">
        <f t="shared" si="2"/>
        <v>135</v>
      </c>
      <c r="AG13" s="896">
        <f t="shared" si="2"/>
        <v>0</v>
      </c>
      <c r="AH13" s="896">
        <f t="shared" si="2"/>
        <v>131</v>
      </c>
      <c r="AI13" s="896">
        <f t="shared" si="2"/>
        <v>0</v>
      </c>
      <c r="AJ13" s="896">
        <f t="shared" si="2"/>
        <v>0</v>
      </c>
      <c r="AK13" s="896">
        <f t="shared" si="2"/>
        <v>0</v>
      </c>
      <c r="AL13" s="896">
        <f t="shared" si="2"/>
        <v>0</v>
      </c>
      <c r="AM13" s="896">
        <f t="shared" si="2"/>
        <v>11048</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705</v>
      </c>
      <c r="BD13" s="896">
        <f t="shared" si="2"/>
        <v>1850</v>
      </c>
      <c r="BE13" s="896">
        <f t="shared" si="2"/>
        <v>0</v>
      </c>
      <c r="BF13" s="896">
        <f t="shared" si="2"/>
        <v>0</v>
      </c>
      <c r="BG13" s="896">
        <f>IF(ISNUMBER(Datos!K13/Datos!J13),Datos!K13/Datos!J13," - ")</f>
        <v>1.0190311418685121</v>
      </c>
      <c r="BH13" s="900">
        <f>IF(ISNUMBER(((Datos!L13/Datos!K13)*11)/factor_trimestre),((Datos!L13/Datos!K13)*11)/factor_trimestre," - ")</f>
        <v>11.404074702886248</v>
      </c>
      <c r="BI13" s="896">
        <f>IF(ISNUMBER('Resol  Asuntos'!D13/NºAsuntos!G13),'Resol  Asuntos'!D13/NºAsuntos!G13," - ")</f>
        <v>0.21772699197035206</v>
      </c>
      <c r="BJ13" s="896" t="str">
        <f>IF(ISNUMBER(Datos!CI13/Datos!CJ13),Datos!CI13/Datos!CJ13," - ")</f>
        <v xml:space="preserve"> - </v>
      </c>
      <c r="BK13" s="896">
        <f>SUBTOTAL(9,BK8:BK12)</f>
        <v>0</v>
      </c>
      <c r="BL13" s="896">
        <f>IF(ISNUMBER((I13-AB13+L13)/(F13)),(I13-AB13+L13)/(F13)," - ")</f>
        <v>-0.11764705882352941</v>
      </c>
      <c r="BM13" s="901">
        <f>SUBTOTAL(9,BM9:BM12)</f>
        <v>5.4471116495266189E-2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4</v>
      </c>
      <c r="B15" s="593" t="s">
        <v>397</v>
      </c>
      <c r="C15" s="598" t="str">
        <f>Datos!A15</f>
        <v xml:space="preserve">Seccion Instruccion Del T.I.                   </v>
      </c>
      <c r="D15" s="599"/>
      <c r="E15" s="1160">
        <f>IF(ISNUMBER(Datos!AQ15),Datos!AQ15," - ")</f>
        <v>4</v>
      </c>
      <c r="F15" s="594">
        <f>IF(ISNUMBER(AF15+AB15-Datos!J15-L15),AF15+AB15-Datos!J15-L15," - ")</f>
        <v>1837</v>
      </c>
      <c r="G15" s="596">
        <f>IF(ISNUMBER(IF(D_I="SI",Datos!I15,Datos!I15+Datos!AC15)),IF(D_I="SI",Datos!I15,Datos!I15+Datos!AC15)," - ")</f>
        <v>1792</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99</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2414</v>
      </c>
      <c r="AC15" s="224">
        <f>IF(ISNUMBER(Datos!Q15),Datos!Q15," - ")</f>
        <v>106</v>
      </c>
      <c r="AD15" s="224"/>
      <c r="AE15" s="224"/>
      <c r="AF15" s="224">
        <f>IF(ISNUMBER(IF(D_I="SI",Datos!L15,Datos!L15+Datos!AF15)),IF(D_I="SI",Datos!L15,Datos!L15+Datos!AF15)," - ")</f>
        <v>1845</v>
      </c>
      <c r="AG15" s="333"/>
      <c r="AH15" s="224"/>
      <c r="AI15" s="224"/>
      <c r="AJ15" s="224"/>
      <c r="AK15" s="333"/>
      <c r="AL15" s="478"/>
      <c r="AM15" s="224">
        <f>IF(ISNUMBER(Datos!R15),Datos!R15," - ")</f>
        <v>310</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313</v>
      </c>
      <c r="BD15" s="228">
        <f>IF(ISNUMBER(Datos!N15),Datos!N15," - ")</f>
        <v>1422</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0.9966969446738233</v>
      </c>
      <c r="BH15" s="224">
        <f>IF(ISNUMBER(((IF(D_I="SI",Datos!L15/Datos!K15,(Datos!L15+Datos!AF15)/(Datos!K15+Datos!AE15)))*11)/factor_trimestre),((IF(D_I="SI",Datos!L15/Datos!K15,(Datos!L15+Datos!AF15)/(Datos!K15+Datos!AE15)))*11)/factor_trimestre," - ")</f>
        <v>2.2928748964374486</v>
      </c>
      <c r="BI15" s="242">
        <f>IF(ISNUMBER('Resol  Asuntos'!D15/NºAsuntos!G15),'Resol  Asuntos'!D15/NºAsuntos!G15," - ")</f>
        <v>0.12966031483015741</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857.81144343494373</v>
      </c>
      <c r="CF15" s="228">
        <f ca="1">AVERAGEIFS($AB:$AB,$BW:$BW,BW15,$BX:$BX,BX15)</f>
        <v>857.81144343494373</v>
      </c>
      <c r="CG15" s="1191">
        <v>0.7</v>
      </c>
      <c r="CH15" s="1191">
        <f ca="1">AVERAGEIF($BW:$BW,BW15,$AC:$AC)</f>
        <v>148.90909090909091</v>
      </c>
      <c r="CI15" s="228">
        <f ca="1">AVERAGEIFS($AC:$AC,$BW:$BW,BW15,$BX:$BX,BX15)</f>
        <v>148.90909090909091</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697.2</v>
      </c>
      <c r="CR15" s="228">
        <f ca="1">AVERAGEIFS($AF:$AF,$BW:$BW,BW15,$BX:$BX,BX15)</f>
        <v>697.2</v>
      </c>
      <c r="CS15" s="1191">
        <v>1.3</v>
      </c>
      <c r="CT15" s="1191">
        <v>1.5</v>
      </c>
      <c r="CU15" s="1191">
        <f ca="1">AVERAGEIF($BW:$BW,$BW15,$AH:$AH)</f>
        <v>56.142857142857146</v>
      </c>
      <c r="CV15" s="228">
        <f ca="1">AVERAGEIFS($AH:$AH,$BW:$BW,$BW15,$BX:$BX,$BX15)</f>
        <v>56.142857142857146</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3099</v>
      </c>
      <c r="DH15" s="228">
        <f ca="1">AVERAGEIFS($AM:$AM,$BW:$BW,$BW15,$BX:$BX,$BX15)</f>
        <v>3099</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6.9394421318311883</v>
      </c>
      <c r="ER15" s="228">
        <f ca="1">AVERAGEIFS($BH:$BH,$BW:$BW,$BW15,$BX:$BX,$BX15)</f>
        <v>6.9394421318311883</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857.81144343494373</v>
      </c>
      <c r="CF16" s="228">
        <f ca="1">AVERAGEIFS($AB:$AB,$BW:$BW,BW16,$BX:$BX,BX16)</f>
        <v>857.81144343494373</v>
      </c>
      <c r="CG16" s="1191">
        <v>0.7</v>
      </c>
      <c r="CH16" s="1191">
        <f ca="1">AVERAGEIF($BW:$BW,BW16,$AC:$AC)</f>
        <v>148.90909090909091</v>
      </c>
      <c r="CI16" s="228">
        <f ca="1">AVERAGEIFS($AC:$AC,$BW:$BW,BW16,$BX:$BX,BX16)</f>
        <v>148.90909090909091</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697.2</v>
      </c>
      <c r="CR16" s="228">
        <f ca="1">AVERAGEIFS($AF:$AF,$BW:$BW,BW16,$BX:$BX,BX16)</f>
        <v>697.2</v>
      </c>
      <c r="CS16" s="1191">
        <v>1.3</v>
      </c>
      <c r="CT16" s="1191">
        <v>1.5</v>
      </c>
      <c r="CU16" s="1191">
        <f ca="1">AVERAGEIF($BW:$BW,$BW16,$AH:$AH)</f>
        <v>56.142857142857146</v>
      </c>
      <c r="CV16" s="228">
        <f ca="1">AVERAGEIFS($AH:$AH,$BW:$BW,$BW16,$BX:$BX,$BX16)</f>
        <v>56.142857142857146</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3099</v>
      </c>
      <c r="DH16" s="228">
        <f ca="1">AVERAGEIFS($AM:$AM,$BW:$BW,$BW16,$BX:$BX,$BX16)</f>
        <v>3099</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6.9394421318311883</v>
      </c>
      <c r="ER16" s="228">
        <f ca="1">AVERAGEIFS($BH:$BH,$BW:$BW,$BW16,$BX:$BX,$BX16)</f>
        <v>6.9394421318311883</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f>IF(ISNUMBER(AF17+AB17-Datos!J17-L17),AF17+AB17-Datos!J17-L17," - ")</f>
        <v>1</v>
      </c>
      <c r="G17" s="596">
        <f>IF(ISNUMBER(IF(D_I="SI",Datos!I17,Datos!I17+Datos!AC17)),IF(D_I="SI",Datos!I17,Datos!I17+Datos!AC17)," - ")</f>
        <v>1</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0</v>
      </c>
      <c r="AC17" s="224">
        <f>IF(ISNUMBER(Datos!Q17),Datos!Q17," - ")</f>
        <v>0</v>
      </c>
      <c r="AD17" s="224"/>
      <c r="AE17" s="224"/>
      <c r="AF17" s="224">
        <f>IF(ISNUMBER(IF(D_I="SI",Datos!L17,Datos!L17+Datos!AF17)),IF(D_I="SI",Datos!L17,Datos!L17+Datos!AF17)," - ")</f>
        <v>1</v>
      </c>
      <c r="AG17" s="333"/>
      <c r="AH17" s="224"/>
      <c r="AI17" s="224"/>
      <c r="AJ17" s="224"/>
      <c r="AK17" s="333"/>
      <c r="AL17" s="478"/>
      <c r="AM17" s="224">
        <f>IF(ISNUMBER(Datos!R17),Datos!R17," - ")</f>
        <v>0</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0</v>
      </c>
      <c r="BD17" s="228">
        <f>IF(ISNUMBER(Datos!N17),Datos!N17," - ")</f>
        <v>0</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857.81144343494373</v>
      </c>
      <c r="CF17" s="228">
        <f ca="1">AVERAGEIFS($AB:$AB,$BW:$BW,BW17,$BX:$BX,BX17)</f>
        <v>857.81144343494373</v>
      </c>
      <c r="CG17" s="1191">
        <v>0.7</v>
      </c>
      <c r="CH17" s="1191">
        <f ca="1">AVERAGEIF($BW:$BW,BW17,$AC:$AC)</f>
        <v>148.90909090909091</v>
      </c>
      <c r="CI17" s="228">
        <f ca="1">AVERAGEIFS($AC:$AC,$BW:$BW,BW17,$BX:$BX,BX17)</f>
        <v>148.90909090909091</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697.2</v>
      </c>
      <c r="CR17" s="228">
        <f ca="1">AVERAGEIFS($AF:$AF,$BW:$BW,BW17,$BX:$BX,BX17)</f>
        <v>697.2</v>
      </c>
      <c r="CS17" s="1191">
        <v>1.3</v>
      </c>
      <c r="CT17" s="1191">
        <v>1.5</v>
      </c>
      <c r="CU17" s="1191">
        <f ca="1">AVERAGEIF($BW:$BW,$BW17,$AH:$AH)</f>
        <v>56.142857142857146</v>
      </c>
      <c r="CV17" s="228">
        <f ca="1">AVERAGEIFS($AH:$AH,$BW:$BW,$BW17,$BX:$BX,$BX17)</f>
        <v>56.142857142857146</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3099</v>
      </c>
      <c r="DH17" s="228">
        <f ca="1">AVERAGEIFS($AM:$AM,$BW:$BW,$BW17,$BX:$BX,$BX17)</f>
        <v>3099</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6.9394421318311883</v>
      </c>
      <c r="ER17" s="228">
        <f ca="1">AVERAGEIFS($BH:$BH,$BW:$BW,$BW17,$BX:$BX,$BX17)</f>
        <v>6.9394421318311883</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298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288</v>
      </c>
      <c r="AC18" s="224">
        <f>IF(ISNUMBER(Datos!Q18),Datos!Q18," - ")</f>
        <v>4</v>
      </c>
      <c r="AD18" s="224"/>
      <c r="AE18" s="224"/>
      <c r="AF18" s="224">
        <f>IF(ISNUMBER(Datos!L18),Datos!L18,"-")</f>
        <v>343</v>
      </c>
      <c r="AG18" s="333"/>
      <c r="AH18" s="224"/>
      <c r="AI18" s="224"/>
      <c r="AJ18" s="224"/>
      <c r="AK18" s="333"/>
      <c r="AL18" s="478"/>
      <c r="AM18" s="224">
        <f>IF(ISNUMBER(Datos!R18),Datos!R18," - ")</f>
        <v>5</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7</v>
      </c>
      <c r="BD18" s="228">
        <f>IF(ISNUMBER(Datos!N18),Datos!N18," - ")</f>
        <v>213</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0.91719745222929938</v>
      </c>
      <c r="BH18" s="224">
        <f>IF(ISNUMBER(((IF(D_I="SI",Datos!L18/Datos!K18,(Datos!L18+Datos!AF18)/(Datos!K18+Datos!AE18)))*11)/factor_trimestre),((IF(D_I="SI",Datos!L18/Datos!K18,(Datos!L18+Datos!AF18)/(Datos!K18+Datos!AE18)))*11)/factor_trimestre," - ")</f>
        <v>3.5729166666666674</v>
      </c>
      <c r="BI18" s="242">
        <f>IF(ISNUMBER('Resol  Asuntos'!D18/NºAsuntos!G18),'Resol  Asuntos'!D18/NºAsuntos!G18," - ")</f>
        <v>2.4305555555555556E-2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857.81144343494373</v>
      </c>
      <c r="CF18" s="228">
        <f ca="1">AVERAGEIFS($AB:$AB,$BW:$BW,BW18,$BX:$BX,BX18)</f>
        <v>857.81144343494373</v>
      </c>
      <c r="CG18" s="1191">
        <v>0.7</v>
      </c>
      <c r="CH18" s="1191">
        <f ca="1">AVERAGEIF($BW:$BW,BW18,$AC:$AC)</f>
        <v>148.90909090909091</v>
      </c>
      <c r="CI18" s="228">
        <f ca="1">AVERAGEIFS($AC:$AC,$BW:$BW,BW18,$BX:$BX,BX18)</f>
        <v>148.90909090909091</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697.2</v>
      </c>
      <c r="CR18" s="228">
        <f ca="1">AVERAGEIFS($AF:$AF,$BW:$BW,BW18,$BX:$BX,BX18)</f>
        <v>697.2</v>
      </c>
      <c r="CS18" s="1191">
        <v>1.3</v>
      </c>
      <c r="CT18" s="1191">
        <v>1.5</v>
      </c>
      <c r="CU18" s="1191">
        <f ca="1">AVERAGEIF($BW:$BW,$BW18,$AH:$AH)</f>
        <v>56.142857142857146</v>
      </c>
      <c r="CV18" s="228">
        <f ca="1">AVERAGEIFS($AH:$AH,$BW:$BW,$BW18,$BX:$BX,$BX18)</f>
        <v>56.142857142857146</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3099</v>
      </c>
      <c r="DH18" s="228">
        <f ca="1">AVERAGEIFS($AM:$AM,$BW:$BW,$BW18,$BX:$BX,$BX18)</f>
        <v>3099</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6.9394421318311883</v>
      </c>
      <c r="ER18" s="228">
        <f ca="1">AVERAGEIFS($BH:$BH,$BW:$BW,$BW18,$BX:$BX,$BX18)</f>
        <v>6.9394421318311883</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5</v>
      </c>
      <c r="F19" s="895">
        <f>SUBTOTAL(9,F15:F18)</f>
        <v>1838</v>
      </c>
      <c r="G19" s="895">
        <f>SUBTOTAL(9,G15:G18)</f>
        <v>2091</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99</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2702</v>
      </c>
      <c r="AC19" s="896">
        <f t="shared" si="5"/>
        <v>110</v>
      </c>
      <c r="AD19" s="896">
        <f t="shared" si="5"/>
        <v>0</v>
      </c>
      <c r="AE19" s="896">
        <f t="shared" si="5"/>
        <v>0</v>
      </c>
      <c r="AF19" s="896">
        <f t="shared" si="5"/>
        <v>2189</v>
      </c>
      <c r="AG19" s="896">
        <f t="shared" si="5"/>
        <v>0</v>
      </c>
      <c r="AH19" s="896">
        <f t="shared" si="5"/>
        <v>0</v>
      </c>
      <c r="AI19" s="896">
        <f t="shared" si="5"/>
        <v>0</v>
      </c>
      <c r="AJ19" s="896">
        <f t="shared" si="5"/>
        <v>0</v>
      </c>
      <c r="AK19" s="896">
        <f t="shared" si="5"/>
        <v>0</v>
      </c>
      <c r="AL19" s="896">
        <f t="shared" si="5"/>
        <v>0</v>
      </c>
      <c r="AM19" s="896">
        <f t="shared" si="5"/>
        <v>315</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320</v>
      </c>
      <c r="BD19" s="896">
        <f t="shared" si="5"/>
        <v>1635</v>
      </c>
      <c r="BE19" s="896">
        <f t="shared" si="5"/>
        <v>0</v>
      </c>
      <c r="BF19" s="896">
        <f t="shared" si="5"/>
        <v>0</v>
      </c>
      <c r="BG19" s="896">
        <f>IF(ISNUMBER(Datos!K19/Datos!J19),Datos!K19/Datos!J19," - ")</f>
        <v>0.98757309941520466</v>
      </c>
      <c r="BH19" s="900">
        <f>IF(ISNUMBER(((Datos!L19/Datos!K19)*11)/factor_trimestre),((Datos!L19/Datos!K19)*11)/factor_trimestre," - ")</f>
        <v>2.4304219096965212</v>
      </c>
      <c r="BI19" s="896">
        <f>SUBTOTAL(9,BI15:BI18)</f>
        <v>0.15396587038571297</v>
      </c>
      <c r="BJ19" s="896">
        <f>SUBTOTAL(9,BJ15:BJ18)</f>
        <v>0</v>
      </c>
      <c r="BK19" s="896">
        <f>SUBTOTAL(9,BK15:BK18)</f>
        <v>0</v>
      </c>
      <c r="BL19" s="896">
        <f>IF(ISNUMBER((I19-AB19+L19)/(F19)),(I19-AB19+L19)/(F19)," - ")</f>
        <v>-1.470076169749728</v>
      </c>
      <c r="BM19" s="902">
        <f>IF(ISNUMBER((Datos!P19-Datos!Q19)/(Datos!R19-Datos!P19+Datos!Q19)),(Datos!P19-Datos!Q19)/(Datos!R19-Datos!P19+Datos!Q19)," - ")</f>
        <v>-3.3742331288343558E-2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12</v>
      </c>
      <c r="F20" s="817">
        <f t="shared" si="7"/>
        <v>1957</v>
      </c>
      <c r="G20" s="817">
        <f t="shared" si="7"/>
        <v>2210</v>
      </c>
      <c r="H20" s="819">
        <f t="shared" si="7"/>
        <v>0</v>
      </c>
      <c r="I20" s="817">
        <f t="shared" si="7"/>
        <v>0</v>
      </c>
      <c r="J20" s="819">
        <f t="shared" si="7"/>
        <v>0</v>
      </c>
      <c r="K20" s="819">
        <f t="shared" si="7"/>
        <v>0</v>
      </c>
      <c r="L20" s="878">
        <f t="shared" si="7"/>
        <v>0</v>
      </c>
      <c r="M20" s="878">
        <f t="shared" si="7"/>
        <v>0</v>
      </c>
      <c r="N20" s="878">
        <f t="shared" si="7"/>
        <v>266</v>
      </c>
      <c r="O20" s="878">
        <f t="shared" si="7"/>
        <v>0</v>
      </c>
      <c r="P20" s="878">
        <f t="shared" si="7"/>
        <v>0</v>
      </c>
      <c r="Q20" s="819">
        <f t="shared" si="7"/>
        <v>664</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2716</v>
      </c>
      <c r="AC20" s="818">
        <f t="shared" si="8"/>
        <v>546</v>
      </c>
      <c r="AD20" s="818">
        <f t="shared" si="8"/>
        <v>0</v>
      </c>
      <c r="AE20" s="818">
        <f t="shared" si="8"/>
        <v>0</v>
      </c>
      <c r="AF20" s="825">
        <f t="shared" si="8"/>
        <v>2324</v>
      </c>
      <c r="AG20" s="825">
        <f t="shared" si="8"/>
        <v>0</v>
      </c>
      <c r="AH20" s="825">
        <f t="shared" si="8"/>
        <v>131</v>
      </c>
      <c r="AI20" s="825">
        <f t="shared" si="8"/>
        <v>0</v>
      </c>
      <c r="AJ20" s="818">
        <f t="shared" si="8"/>
        <v>0</v>
      </c>
      <c r="AK20" s="825">
        <f t="shared" si="8"/>
        <v>0</v>
      </c>
      <c r="AL20" s="825">
        <f t="shared" si="8"/>
        <v>0</v>
      </c>
      <c r="AM20" s="825">
        <f t="shared" si="8"/>
        <v>11363</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1025</v>
      </c>
      <c r="BD20" s="817">
        <f t="shared" si="8"/>
        <v>3485</v>
      </c>
      <c r="BE20" s="817">
        <f t="shared" si="8"/>
        <v>0</v>
      </c>
      <c r="BF20" s="827">
        <f t="shared" si="8"/>
        <v>0</v>
      </c>
      <c r="BG20" s="912">
        <f>IF(ISNUMBER(Datos!K20/Datos!J20),Datos!K20/Datos!J20," - ")</f>
        <v>1.0037326697476003</v>
      </c>
      <c r="BH20" s="912">
        <f>IF(ISNUMBER(((Datos!L20/Datos!K20)*11)/factor_trimestre),((Datos!L20/Datos!K20)*11)/factor_trimestre," - ")</f>
        <v>7.1103240658756874</v>
      </c>
      <c r="BI20" s="810">
        <f>IF(ISNUMBER(Datos!J20/Datos!I20),Datos!J20/Datos!I20," - ")</f>
        <v>0.4207298833383189</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-1.3878385283597343</v>
      </c>
      <c r="BM20" s="886">
        <f>IF(ISNUMBER((Datos!P20-Datos!Q20+R20)/(Datos!R20-Datos!P20+Datos!Q20-R20)),(Datos!P20-Datos!Q20+R20)/(Datos!R20-Datos!P20+Datos!Q20-R20)," - ")</f>
        <v>1.0493552690084482E-2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736.66666666666663</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2.7968235951204043</v>
      </c>
      <c r="F22" s="550">
        <f>IF(ISNUMBER(STDEV(F8:F19)),STDEV(F8:F19),"-")</f>
        <v>964.00943978780617</v>
      </c>
      <c r="G22" s="551">
        <f>IF(ISNUMBER(STDEV(G8:G19)),STDEV(G8:G19),"-")</f>
        <v>942.82610627128201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1287.9258777843804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314.67201367531271</v>
      </c>
      <c r="BD22" s="550"/>
      <c r="BE22" s="550">
        <f>IF(ISNUMBER(STDEV(BE8:BE19)),STDEV(BE8:BE19),"-")</f>
        <v>0</v>
      </c>
      <c r="BF22" s="555">
        <f>IF(ISNUMBER(STDEV(BF8:BF19)),STDEV(BF8:BF19),"-")</f>
        <v>0</v>
      </c>
      <c r="BG22" s="772">
        <f>IF(ISNUMBER(STDEV(BG8:BG19)),STDEV(BG8:BG19),"-")</f>
        <v>0.21746584464416641</v>
      </c>
      <c r="BH22" s="773">
        <f>IF(ISNUMBER(STDEV(BH8:BH19)),STDEV(BH8:BH19),"-")</f>
        <v>10.181218241547523</v>
      </c>
      <c r="BI22" s="248">
        <f>IF(ISNUMBER(STDEV(BI8:BI19)),STDEV(BI8:BI19),"-")</f>
        <v>8.048563789456406E-2</v>
      </c>
      <c r="BJ22" s="986" t="str">
        <f>IF(ISNUMBER(BL22/BM22),BL22/BM22," - ")</f>
        <v xml:space="preserve"> - </v>
      </c>
      <c r="BK22" s="574"/>
      <c r="BL22" s="558">
        <f>IF(ISNUMBER(STDEV(BL8:BL19)),STDEV(BL8:BL19),"-")</f>
        <v>0.95631179541000855</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99KFX+P7CLWeGNtVsFG8AqtTm1N+v4Wk/LZU3XNBem6HAMvALRcU7/V4WTC9iuZhI2SUyqS8ws99pshiAN/k6A==" saltValue="Ozc8SsZ4zfzvNv2g4nu/o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MADRID</v>
      </c>
    </row>
    <row r="2" spans="1:146" ht="16.5" customHeight="1">
      <c r="C2" s="487" t="str">
        <f>Criterios!A10 &amp;"  "&amp;Criterios!B10 &amp; "  " &amp; IF(NOT(ISBLANK(Criterios!A11)),Criterios!A11 &amp;"  "&amp;Criterios!B11,"")</f>
        <v>Provincias  MADRID  Resumenes por Partidos Judiciales  TORREJON DE ARDOZ</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0.21772699197035206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0.15395623246958492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DSOE+pCHgyntSF+BwzcWgT5YjnIO8rZgX/Sikxmx1J35uWfddScOKayZPe8bhI7pdnXjJJYx6jeTm3IGW4hRgQ==" saltValue="x+XvUctNuYHHPwKyXDTY7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MADRID</v>
      </c>
      <c r="B4" s="787" t="str">
        <f>IF(Criterios!B10=0,"",Criterios!B10)</f>
        <v>MADRID</v>
      </c>
      <c r="C4" s="787" t="str">
        <f>IF(Criterios!B11=0,"",Criterios!B11)</f>
        <v>TORREJON DE ARDOZ</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TNf3auqTgvM74vRzoEnmF6oBGwWWjJC4FBlqWzl4xRsXWdlTUMdgXsWLX1kEJ7WMS0up7V+fWFw60TmRPRwKlg==" saltValue="T7r2Z6MxmJA6K5nMDBeU2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2026-10-06T14:50:53Z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